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schneiderelectric-my.sharepoint.com/personal/sesa283853_se_com/Documents/_DT/_HDCLN (Data)/Technology/PoE/SE PoE Calculator/230721 Schneider Electric Actassi PoE calculator/"/>
    </mc:Choice>
  </mc:AlternateContent>
  <xr:revisionPtr revIDLastSave="196" documentId="13_ncr:1_{1C40DA5E-3038-4CD6-8B91-B46DE4F5A21D}" xr6:coauthVersionLast="47" xr6:coauthVersionMax="47" xr10:uidLastSave="{5D0BA220-D50F-4DB3-9001-E55BE38B9321}"/>
  <workbookProtection workbookAlgorithmName="SHA-512" workbookHashValue="eVI2tzGbbDjfFoY1GMy8fmuNtale+qaCe4Iu6c7ethwz87SNsDrk/qgB9Br3pHdHDu1b78/N3xGG2+moPPWZsA==" workbookSaltValue="FGQrEvFcrnWgqaZt1cabNA==" workbookSpinCount="100000" lockStructure="1"/>
  <bookViews>
    <workbookView xWindow="-120" yWindow="-120" windowWidth="29040" windowHeight="15840" firstSheet="9" activeTab="9" xr2:uid="{D66B034F-B585-40B8-8E9F-6E6E9EEDF446}"/>
  </bookViews>
  <sheets>
    <sheet name="Temp Calc" sheetId="5" state="hidden" r:id="rId1"/>
    <sheet name="Cable list" sheetId="1" state="hidden" r:id="rId2"/>
    <sheet name="Constant list" sheetId="3" state="hidden" r:id="rId3"/>
    <sheet name="Cable and cord selector" sheetId="2" state="hidden" r:id="rId4"/>
    <sheet name="Bundle in pathway" sheetId="4" state="hidden" r:id="rId5"/>
    <sheet name="Messages" sheetId="13" state="hidden" r:id="rId6"/>
    <sheet name="Calc-round bundle" sheetId="10" state="hidden" r:id="rId7"/>
    <sheet name="Calc-flat bundle" sheetId="11" state="hidden" r:id="rId8"/>
    <sheet name="Calc-24-cable bundle" sheetId="12" state="hidden" r:id="rId9"/>
    <sheet name="Temperature in bundle" sheetId="8" r:id="rId10"/>
    <sheet name="Read me first" sheetId="9" r:id="rId11"/>
    <sheet name="Feuil1" sheetId="15" state="hidden" r:id="rId12"/>
    <sheet name="Feuil2" sheetId="16" state="hidden" r:id="rId13"/>
    <sheet name="Feuil4" sheetId="18" state="hidden" r:id="rId14"/>
    <sheet name="Feuil3" sheetId="17" state="hidden" r:id="rId15"/>
  </sheets>
  <definedNames>
    <definedName name="_xlnm.Print_Area" localSheetId="9">'Temperature in bundle'!$A$1:$U$36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2" i="18" l="1"/>
  <c r="J52" i="18"/>
  <c r="I52" i="18"/>
  <c r="H52" i="18"/>
  <c r="G52" i="18"/>
  <c r="F52" i="18"/>
  <c r="E52" i="18"/>
  <c r="D52" i="18"/>
  <c r="K45" i="18"/>
  <c r="J45" i="18"/>
  <c r="I45" i="18"/>
  <c r="H45" i="18"/>
  <c r="G45" i="18"/>
  <c r="F45" i="18"/>
  <c r="E45" i="18"/>
  <c r="D45" i="18"/>
  <c r="E41" i="18"/>
  <c r="F41" i="18"/>
  <c r="G41" i="18"/>
  <c r="H41" i="18"/>
  <c r="I41" i="18"/>
  <c r="J41" i="18"/>
  <c r="K41" i="18"/>
  <c r="D41" i="18"/>
  <c r="C46" i="18"/>
  <c r="J46" i="18" s="1"/>
  <c r="B46" i="18"/>
  <c r="C42" i="18"/>
  <c r="B42" i="18"/>
  <c r="K25" i="18"/>
  <c r="J25" i="18"/>
  <c r="I25" i="18"/>
  <c r="H25" i="18"/>
  <c r="G25" i="18"/>
  <c r="F25" i="18"/>
  <c r="E25" i="18"/>
  <c r="D25" i="18"/>
  <c r="K18" i="18"/>
  <c r="J18" i="18"/>
  <c r="I18" i="18"/>
  <c r="H18" i="18"/>
  <c r="G18" i="18"/>
  <c r="F18" i="18"/>
  <c r="E18" i="18"/>
  <c r="D18" i="18"/>
  <c r="C19" i="18"/>
  <c r="B19" i="18"/>
  <c r="K14" i="18"/>
  <c r="J14" i="18"/>
  <c r="I14" i="18"/>
  <c r="H14" i="18"/>
  <c r="G14" i="18"/>
  <c r="F14" i="18"/>
  <c r="E14" i="18"/>
  <c r="D14" i="18"/>
  <c r="C15" i="18"/>
  <c r="B15" i="18"/>
  <c r="B3" i="4"/>
  <c r="H19" i="18" l="1"/>
  <c r="F42" i="18"/>
  <c r="D42" i="18"/>
  <c r="H42" i="18"/>
  <c r="G42" i="18"/>
  <c r="K42" i="18"/>
  <c r="D46" i="18"/>
  <c r="E15" i="18"/>
  <c r="J42" i="18"/>
  <c r="E46" i="18"/>
  <c r="I42" i="18"/>
  <c r="F46" i="18"/>
  <c r="K46" i="18"/>
  <c r="I46" i="18"/>
  <c r="G46" i="18"/>
  <c r="H46" i="18"/>
  <c r="E42" i="18"/>
  <c r="G19" i="18"/>
  <c r="I19" i="18"/>
  <c r="K19" i="18"/>
  <c r="J19" i="18"/>
  <c r="D19" i="18"/>
  <c r="E19" i="18"/>
  <c r="F19" i="18"/>
  <c r="J15" i="18"/>
  <c r="G15" i="18"/>
  <c r="D15" i="18"/>
  <c r="K15" i="18"/>
  <c r="I15" i="18"/>
  <c r="H15" i="18"/>
  <c r="F15" i="18"/>
  <c r="T31" i="8"/>
  <c r="Z249" i="12" l="1"/>
  <c r="Z248" i="12"/>
  <c r="Z247" i="12"/>
  <c r="Z246" i="12"/>
  <c r="Z245" i="12"/>
  <c r="Z244" i="12"/>
  <c r="Z243" i="12"/>
  <c r="Z242" i="12"/>
  <c r="Z241" i="12"/>
  <c r="Z240" i="12"/>
  <c r="Z239" i="12"/>
  <c r="Z238" i="12"/>
  <c r="Z237" i="12"/>
  <c r="Z236" i="12"/>
  <c r="Z235" i="12"/>
  <c r="Z234" i="12"/>
  <c r="Z233" i="12"/>
  <c r="Z232" i="12"/>
  <c r="Z231" i="12"/>
  <c r="Z230" i="12"/>
  <c r="Z229" i="12"/>
  <c r="Z228" i="12"/>
  <c r="Z227" i="12"/>
  <c r="Z226" i="12"/>
  <c r="Z225" i="12"/>
  <c r="Z224" i="12"/>
  <c r="Z223" i="12"/>
  <c r="Z222" i="12"/>
  <c r="Z221" i="12"/>
  <c r="Z220" i="12"/>
  <c r="Z219" i="12"/>
  <c r="Z218" i="12"/>
  <c r="Z217" i="12"/>
  <c r="Z216" i="12"/>
  <c r="Z215" i="12"/>
  <c r="Z214" i="12"/>
  <c r="Z213" i="12"/>
  <c r="Z212" i="12"/>
  <c r="Z211" i="12"/>
  <c r="Z210" i="12"/>
  <c r="Z209" i="12"/>
  <c r="Z208" i="12"/>
  <c r="Z207" i="12"/>
  <c r="Z206" i="12"/>
  <c r="Z205" i="12"/>
  <c r="Z204" i="12"/>
  <c r="Z203" i="12"/>
  <c r="Z202" i="12"/>
  <c r="Z201" i="12"/>
  <c r="Z200" i="12"/>
  <c r="Z199" i="12"/>
  <c r="Z198" i="12"/>
  <c r="Z197" i="12"/>
  <c r="Z196" i="12"/>
  <c r="Z195" i="12"/>
  <c r="Z194" i="12"/>
  <c r="Z193" i="12"/>
  <c r="Z192" i="12"/>
  <c r="Z191" i="12"/>
  <c r="Z190" i="12"/>
  <c r="Z189" i="12"/>
  <c r="Z188" i="12"/>
  <c r="Z187" i="12"/>
  <c r="Z186" i="12"/>
  <c r="Z185" i="12"/>
  <c r="Z184" i="12"/>
  <c r="Z183" i="12"/>
  <c r="Z182" i="12"/>
  <c r="Z181" i="12"/>
  <c r="Z180" i="12"/>
  <c r="Z179" i="12"/>
  <c r="Z178" i="12"/>
  <c r="Z177" i="12"/>
  <c r="Z176" i="12"/>
  <c r="Z175" i="12"/>
  <c r="Z174" i="12"/>
  <c r="Z173" i="12"/>
  <c r="Z172" i="12"/>
  <c r="Z171" i="12"/>
  <c r="Z170" i="12"/>
  <c r="Z169" i="12"/>
  <c r="Z168" i="12"/>
  <c r="Z167" i="12"/>
  <c r="Z166" i="12"/>
  <c r="Z165" i="12"/>
  <c r="Z164" i="12"/>
  <c r="Z163" i="12"/>
  <c r="Z162" i="12"/>
  <c r="Z161" i="12"/>
  <c r="Z160" i="12"/>
  <c r="Z159" i="12"/>
  <c r="Z158" i="12"/>
  <c r="Z157" i="12"/>
  <c r="Z156" i="12"/>
  <c r="Z155" i="12"/>
  <c r="Z154" i="12"/>
  <c r="Z153" i="12"/>
  <c r="Z152" i="12"/>
  <c r="Z151" i="12"/>
  <c r="Z150" i="12"/>
  <c r="Z149" i="12"/>
  <c r="Z148" i="12"/>
  <c r="Z147" i="12"/>
  <c r="Z146" i="12"/>
  <c r="Z145" i="12"/>
  <c r="Z144" i="12"/>
  <c r="Z143" i="12"/>
  <c r="Z142" i="12"/>
  <c r="Z141" i="12"/>
  <c r="Z140" i="12"/>
  <c r="Z139" i="12"/>
  <c r="Z138" i="12"/>
  <c r="Z137" i="12"/>
  <c r="Z136" i="12"/>
  <c r="Z135" i="12"/>
  <c r="Z134" i="12"/>
  <c r="Z133" i="12"/>
  <c r="Z132" i="12"/>
  <c r="Z131" i="12"/>
  <c r="Z130" i="12"/>
  <c r="Z129" i="12"/>
  <c r="Z128" i="12"/>
  <c r="Z127" i="12"/>
  <c r="Z126" i="12"/>
  <c r="Z125" i="12"/>
  <c r="Z124" i="12"/>
  <c r="Z123" i="12"/>
  <c r="Z122" i="12"/>
  <c r="Z121" i="12"/>
  <c r="Z120" i="12"/>
  <c r="Z119" i="12"/>
  <c r="Z118" i="12"/>
  <c r="Z117" i="12"/>
  <c r="Z116" i="12"/>
  <c r="Z115" i="12"/>
  <c r="Z114" i="12"/>
  <c r="Z113" i="12"/>
  <c r="Z112" i="12"/>
  <c r="Z111" i="12"/>
  <c r="Z110" i="12"/>
  <c r="Z109" i="12"/>
  <c r="Z108" i="12"/>
  <c r="Z107" i="12"/>
  <c r="Z106" i="12"/>
  <c r="Z105" i="12"/>
  <c r="Z104" i="12"/>
  <c r="Z103" i="12"/>
  <c r="Z102" i="12"/>
  <c r="Z101" i="12"/>
  <c r="Z100" i="12"/>
  <c r="Z99" i="12"/>
  <c r="Z98" i="12"/>
  <c r="Z97" i="12"/>
  <c r="Z96" i="12"/>
  <c r="Z95" i="12"/>
  <c r="Z94" i="12"/>
  <c r="Z93" i="12"/>
  <c r="Z92" i="12"/>
  <c r="Z91" i="12"/>
  <c r="Z90" i="12"/>
  <c r="Z89" i="12"/>
  <c r="Z88" i="12"/>
  <c r="Z87" i="12"/>
  <c r="Z86" i="12"/>
  <c r="Z85" i="12"/>
  <c r="Z84" i="12"/>
  <c r="Z83" i="12"/>
  <c r="Z82" i="12"/>
  <c r="Z81" i="12"/>
  <c r="Z80" i="12"/>
  <c r="Z79" i="12"/>
  <c r="Z78" i="12"/>
  <c r="Z77" i="12"/>
  <c r="Z76" i="12"/>
  <c r="Z75" i="12"/>
  <c r="U249" i="12"/>
  <c r="U248" i="12"/>
  <c r="U247" i="12"/>
  <c r="U246" i="12"/>
  <c r="U245" i="12"/>
  <c r="U244" i="12"/>
  <c r="U243" i="12"/>
  <c r="U242" i="12"/>
  <c r="U241" i="12"/>
  <c r="U240" i="12"/>
  <c r="U239" i="12"/>
  <c r="U238" i="12"/>
  <c r="U237" i="12"/>
  <c r="U236" i="12"/>
  <c r="U235" i="12"/>
  <c r="U234" i="12"/>
  <c r="U233" i="12"/>
  <c r="U232" i="12"/>
  <c r="U231" i="12"/>
  <c r="U230" i="12"/>
  <c r="U229" i="12"/>
  <c r="U228" i="12"/>
  <c r="U227" i="12"/>
  <c r="U226" i="12"/>
  <c r="U225" i="12"/>
  <c r="U224" i="12"/>
  <c r="U223" i="12"/>
  <c r="U222" i="12"/>
  <c r="U221" i="12"/>
  <c r="U220" i="12"/>
  <c r="U219" i="12"/>
  <c r="U218" i="12"/>
  <c r="U217" i="12"/>
  <c r="U216" i="12"/>
  <c r="U215" i="12"/>
  <c r="U214" i="12"/>
  <c r="U213" i="12"/>
  <c r="U212" i="12"/>
  <c r="U211" i="12"/>
  <c r="U210" i="12"/>
  <c r="U209" i="12"/>
  <c r="U208" i="12"/>
  <c r="U207" i="12"/>
  <c r="U206" i="12"/>
  <c r="U205" i="12"/>
  <c r="U204" i="12"/>
  <c r="U203" i="12"/>
  <c r="U202" i="12"/>
  <c r="U201" i="12"/>
  <c r="U200" i="12"/>
  <c r="U199" i="12"/>
  <c r="U198" i="12"/>
  <c r="U197" i="12"/>
  <c r="U196" i="12"/>
  <c r="U195" i="12"/>
  <c r="U194" i="12"/>
  <c r="U193" i="12"/>
  <c r="U192" i="12"/>
  <c r="U191" i="12"/>
  <c r="U190" i="12"/>
  <c r="U189" i="12"/>
  <c r="U188" i="12"/>
  <c r="U187" i="12"/>
  <c r="U186" i="12"/>
  <c r="U185" i="12"/>
  <c r="U184" i="12"/>
  <c r="U183" i="12"/>
  <c r="U182" i="12"/>
  <c r="U181" i="12"/>
  <c r="U180" i="12"/>
  <c r="U179" i="12"/>
  <c r="U178" i="12"/>
  <c r="U177" i="12"/>
  <c r="U176" i="12"/>
  <c r="U175" i="12"/>
  <c r="U174" i="12"/>
  <c r="U173" i="12"/>
  <c r="U172" i="12"/>
  <c r="U171" i="12"/>
  <c r="U170" i="12"/>
  <c r="U169" i="12"/>
  <c r="U168" i="12"/>
  <c r="U167" i="12"/>
  <c r="U166" i="12"/>
  <c r="U165" i="12"/>
  <c r="U164" i="12"/>
  <c r="U163" i="12"/>
  <c r="U162" i="12"/>
  <c r="U161" i="12"/>
  <c r="U160" i="12"/>
  <c r="U159" i="12"/>
  <c r="U158" i="12"/>
  <c r="U157" i="12"/>
  <c r="U156" i="12"/>
  <c r="U155" i="12"/>
  <c r="U154" i="12"/>
  <c r="U153" i="12"/>
  <c r="U152" i="12"/>
  <c r="U151" i="12"/>
  <c r="U150" i="12"/>
  <c r="U149" i="12"/>
  <c r="U148" i="12"/>
  <c r="U147" i="12"/>
  <c r="U146" i="12"/>
  <c r="U145" i="12"/>
  <c r="U144" i="12"/>
  <c r="U143" i="12"/>
  <c r="U142" i="12"/>
  <c r="U141" i="12"/>
  <c r="U140" i="12"/>
  <c r="U139" i="12"/>
  <c r="U138" i="12"/>
  <c r="U137" i="12"/>
  <c r="U136" i="12"/>
  <c r="U135" i="12"/>
  <c r="U134" i="12"/>
  <c r="U133" i="12"/>
  <c r="U132" i="12"/>
  <c r="U131" i="12"/>
  <c r="U130" i="12"/>
  <c r="U129" i="12"/>
  <c r="U128" i="12"/>
  <c r="U127" i="12"/>
  <c r="U126" i="12"/>
  <c r="U125" i="12"/>
  <c r="U124" i="12"/>
  <c r="U123" i="12"/>
  <c r="U122" i="12"/>
  <c r="U121" i="12"/>
  <c r="U120" i="12"/>
  <c r="U119" i="12"/>
  <c r="U118" i="12"/>
  <c r="U117" i="12"/>
  <c r="U116" i="12"/>
  <c r="U115" i="12"/>
  <c r="U114" i="12"/>
  <c r="U113" i="12"/>
  <c r="U112" i="12"/>
  <c r="U111" i="12"/>
  <c r="U110" i="12"/>
  <c r="U109" i="12"/>
  <c r="U108" i="12"/>
  <c r="U107" i="12"/>
  <c r="U106" i="12"/>
  <c r="U105" i="12"/>
  <c r="U104" i="12"/>
  <c r="U103" i="12"/>
  <c r="U102" i="12"/>
  <c r="U101" i="12"/>
  <c r="U100" i="12"/>
  <c r="U99" i="12"/>
  <c r="U98" i="12"/>
  <c r="U97" i="12"/>
  <c r="U96" i="12"/>
  <c r="U95" i="12"/>
  <c r="U94" i="12"/>
  <c r="U93" i="12"/>
  <c r="U92" i="12"/>
  <c r="U91" i="12"/>
  <c r="U90" i="12"/>
  <c r="U89" i="12"/>
  <c r="U88" i="12"/>
  <c r="U87" i="12"/>
  <c r="U86" i="12"/>
  <c r="U85" i="12"/>
  <c r="U84" i="12"/>
  <c r="U83" i="12"/>
  <c r="U82" i="12"/>
  <c r="U81" i="12"/>
  <c r="U80" i="12"/>
  <c r="U79" i="12"/>
  <c r="U78" i="12"/>
  <c r="U77" i="12"/>
  <c r="U76" i="12"/>
  <c r="U75" i="12"/>
  <c r="P17" i="8"/>
  <c r="E15" i="12"/>
  <c r="C15" i="12"/>
  <c r="E15" i="11"/>
  <c r="C15" i="11"/>
  <c r="E15" i="10"/>
  <c r="C15" i="10"/>
  <c r="C40" i="13"/>
  <c r="P249" i="12" l="1"/>
  <c r="P248" i="12"/>
  <c r="P247" i="12"/>
  <c r="P246" i="12"/>
  <c r="P245" i="12"/>
  <c r="P244" i="12"/>
  <c r="P243" i="12"/>
  <c r="P242" i="12"/>
  <c r="P241" i="12"/>
  <c r="P240" i="12"/>
  <c r="P239" i="12"/>
  <c r="P238" i="12"/>
  <c r="P237" i="12"/>
  <c r="P236" i="12"/>
  <c r="P235" i="12"/>
  <c r="P234" i="12"/>
  <c r="P233" i="12"/>
  <c r="P232" i="12"/>
  <c r="P231" i="12"/>
  <c r="P230" i="12"/>
  <c r="P229" i="12"/>
  <c r="P228" i="12"/>
  <c r="P227" i="12"/>
  <c r="P226" i="12"/>
  <c r="P225" i="12"/>
  <c r="P224" i="12"/>
  <c r="P223" i="12"/>
  <c r="P222" i="12"/>
  <c r="P221" i="12"/>
  <c r="P220" i="12"/>
  <c r="P219" i="12"/>
  <c r="P218" i="12"/>
  <c r="P217" i="12"/>
  <c r="P216" i="12"/>
  <c r="P215" i="12"/>
  <c r="P214" i="12"/>
  <c r="P213" i="12"/>
  <c r="P212" i="12"/>
  <c r="P211" i="12"/>
  <c r="P210" i="12"/>
  <c r="P209" i="12"/>
  <c r="P208" i="12"/>
  <c r="P207" i="12"/>
  <c r="P206" i="12"/>
  <c r="P205" i="12"/>
  <c r="P204" i="12"/>
  <c r="P203" i="12"/>
  <c r="P202" i="12"/>
  <c r="P201" i="12"/>
  <c r="P200" i="12"/>
  <c r="P199" i="12"/>
  <c r="P198" i="12"/>
  <c r="P197" i="12"/>
  <c r="P196" i="12"/>
  <c r="P195" i="12"/>
  <c r="P194" i="12"/>
  <c r="P193" i="12"/>
  <c r="P192" i="12"/>
  <c r="P191" i="12"/>
  <c r="P190" i="12"/>
  <c r="P189" i="12"/>
  <c r="P188" i="12"/>
  <c r="P187" i="12"/>
  <c r="P186" i="12"/>
  <c r="P185" i="12"/>
  <c r="P184" i="12"/>
  <c r="P183" i="12"/>
  <c r="P182" i="12"/>
  <c r="P181" i="12"/>
  <c r="P180" i="12"/>
  <c r="P179" i="12"/>
  <c r="P178" i="12"/>
  <c r="P177" i="12"/>
  <c r="P176" i="12"/>
  <c r="P175" i="12"/>
  <c r="P174" i="12"/>
  <c r="P173" i="12"/>
  <c r="P172" i="12"/>
  <c r="P171" i="12"/>
  <c r="P170" i="12"/>
  <c r="P169" i="12"/>
  <c r="P168" i="12"/>
  <c r="P167" i="12"/>
  <c r="P166" i="12"/>
  <c r="P165" i="12"/>
  <c r="P164" i="12"/>
  <c r="P163" i="12"/>
  <c r="P162" i="12"/>
  <c r="P161" i="12"/>
  <c r="P160" i="12"/>
  <c r="P159" i="12"/>
  <c r="P158" i="12"/>
  <c r="P157" i="12"/>
  <c r="P156" i="12"/>
  <c r="P155" i="12"/>
  <c r="P154" i="12"/>
  <c r="P153" i="12"/>
  <c r="P152" i="12"/>
  <c r="P151" i="12"/>
  <c r="P150" i="12"/>
  <c r="P149" i="12"/>
  <c r="P148" i="12"/>
  <c r="P147" i="12"/>
  <c r="P146" i="12"/>
  <c r="P145" i="12"/>
  <c r="P144" i="12"/>
  <c r="P143" i="12"/>
  <c r="P142" i="12"/>
  <c r="P141" i="12"/>
  <c r="P140" i="12"/>
  <c r="P139" i="12"/>
  <c r="P138" i="12"/>
  <c r="P137" i="12"/>
  <c r="P136" i="12"/>
  <c r="P135" i="12"/>
  <c r="P134" i="12"/>
  <c r="P133" i="12"/>
  <c r="P132" i="12"/>
  <c r="P131" i="12"/>
  <c r="P130" i="12"/>
  <c r="P129" i="12"/>
  <c r="P128" i="12"/>
  <c r="P127" i="12"/>
  <c r="P126" i="12"/>
  <c r="P125" i="12"/>
  <c r="P124" i="12"/>
  <c r="P123" i="12"/>
  <c r="P122" i="12"/>
  <c r="P121" i="12"/>
  <c r="P120" i="12"/>
  <c r="P119" i="12"/>
  <c r="P118" i="12"/>
  <c r="P117" i="12"/>
  <c r="P116" i="12"/>
  <c r="P115" i="12"/>
  <c r="P114" i="12"/>
  <c r="P113" i="12"/>
  <c r="P112" i="12"/>
  <c r="P111" i="12"/>
  <c r="P110" i="12"/>
  <c r="P109" i="12"/>
  <c r="P108" i="12"/>
  <c r="P107" i="12"/>
  <c r="P106" i="12"/>
  <c r="P105" i="12"/>
  <c r="P104" i="12"/>
  <c r="P103" i="12"/>
  <c r="P102" i="12"/>
  <c r="P101" i="12"/>
  <c r="P100" i="12"/>
  <c r="P99" i="12"/>
  <c r="P98" i="12"/>
  <c r="P97" i="12"/>
  <c r="P96" i="12"/>
  <c r="P95" i="12"/>
  <c r="P94" i="12"/>
  <c r="P93" i="12"/>
  <c r="P92" i="12"/>
  <c r="P91" i="12"/>
  <c r="P90" i="12"/>
  <c r="P89" i="12"/>
  <c r="P88" i="12"/>
  <c r="P87" i="12"/>
  <c r="P86" i="12"/>
  <c r="P85" i="12"/>
  <c r="P84" i="12"/>
  <c r="P83" i="12"/>
  <c r="P82" i="12"/>
  <c r="P81" i="12"/>
  <c r="P80" i="12"/>
  <c r="P79" i="12"/>
  <c r="P78" i="12"/>
  <c r="P77" i="12"/>
  <c r="P76" i="12"/>
  <c r="P75" i="12"/>
  <c r="P24" i="8"/>
  <c r="E6" i="12"/>
  <c r="J24" i="8"/>
  <c r="E24" i="8"/>
  <c r="U13" i="1" l="1"/>
  <c r="S6" i="1"/>
  <c r="R6" i="1"/>
  <c r="N6" i="1"/>
  <c r="C6" i="1"/>
  <c r="B23" i="13" l="1"/>
  <c r="B19" i="13"/>
  <c r="B20" i="13"/>
  <c r="B10" i="13"/>
  <c r="B11" i="13"/>
  <c r="B6" i="13"/>
  <c r="B5" i="13"/>
  <c r="B12" i="13"/>
  <c r="B16" i="13"/>
  <c r="B18" i="13" l="1"/>
  <c r="C36" i="13" s="1"/>
  <c r="A52" i="12" l="1"/>
  <c r="C74" i="12"/>
  <c r="D74" i="12" s="1"/>
  <c r="D73" i="12"/>
  <c r="C73" i="12"/>
  <c r="D72" i="12"/>
  <c r="C71" i="12"/>
  <c r="D71" i="12" s="1"/>
  <c r="D70" i="12"/>
  <c r="C70" i="12"/>
  <c r="C69" i="12"/>
  <c r="D69" i="12" s="1"/>
  <c r="C68" i="12"/>
  <c r="D68" i="12" s="1"/>
  <c r="C67" i="12"/>
  <c r="D67" i="12" s="1"/>
  <c r="D66" i="12"/>
  <c r="C66" i="12"/>
  <c r="D65" i="12"/>
  <c r="C64" i="12"/>
  <c r="D64" i="12" s="1"/>
  <c r="C63" i="12"/>
  <c r="D63" i="12" s="1"/>
  <c r="D62" i="12"/>
  <c r="C62" i="12"/>
  <c r="D61" i="12"/>
  <c r="C61" i="12"/>
  <c r="C60" i="12"/>
  <c r="D60" i="12" s="1"/>
  <c r="D59" i="12"/>
  <c r="C58" i="12"/>
  <c r="D58" i="12" s="1"/>
  <c r="C57" i="12"/>
  <c r="D57" i="12" s="1"/>
  <c r="C56" i="12"/>
  <c r="D56" i="12" s="1"/>
  <c r="D55" i="12"/>
  <c r="C54" i="12"/>
  <c r="D54" i="12" s="1"/>
  <c r="C53" i="12"/>
  <c r="D53" i="12" s="1"/>
  <c r="D52" i="12"/>
  <c r="F51" i="12"/>
  <c r="E51" i="12"/>
  <c r="D51" i="12"/>
  <c r="F47" i="12"/>
  <c r="E47" i="12"/>
  <c r="D47" i="12"/>
  <c r="D44" i="12"/>
  <c r="C44" i="12"/>
  <c r="D43" i="12"/>
  <c r="C43" i="12"/>
  <c r="D42" i="12"/>
  <c r="D41" i="12"/>
  <c r="C41" i="12"/>
  <c r="C40" i="12"/>
  <c r="D40" i="12" s="1"/>
  <c r="D39" i="12"/>
  <c r="C39" i="12"/>
  <c r="C38" i="12"/>
  <c r="D38" i="12" s="1"/>
  <c r="C37" i="12"/>
  <c r="D37" i="12" s="1"/>
  <c r="C36" i="12"/>
  <c r="D36" i="12" s="1"/>
  <c r="D35" i="12"/>
  <c r="C34" i="12"/>
  <c r="D34" i="12" s="1"/>
  <c r="C33" i="12"/>
  <c r="D33" i="12" s="1"/>
  <c r="D32" i="12"/>
  <c r="C32" i="12"/>
  <c r="D31" i="12"/>
  <c r="C31" i="12"/>
  <c r="C30" i="12"/>
  <c r="D30" i="12" s="1"/>
  <c r="D29" i="12"/>
  <c r="D28" i="12"/>
  <c r="C28" i="12"/>
  <c r="C27" i="12"/>
  <c r="D27" i="12" s="1"/>
  <c r="C26" i="12"/>
  <c r="D26" i="12" s="1"/>
  <c r="D25" i="12"/>
  <c r="D24" i="12"/>
  <c r="C24" i="12"/>
  <c r="C23" i="12"/>
  <c r="D23" i="12" s="1"/>
  <c r="D22" i="12"/>
  <c r="F21" i="12"/>
  <c r="E21" i="12"/>
  <c r="D21" i="12"/>
  <c r="A22" i="12"/>
  <c r="A23" i="12" s="1"/>
  <c r="A24" i="12" s="1"/>
  <c r="G8" i="12"/>
  <c r="E8" i="12"/>
  <c r="C8" i="12"/>
  <c r="G3" i="12"/>
  <c r="E3" i="12"/>
  <c r="C3" i="12"/>
  <c r="N42" i="1"/>
  <c r="N43" i="1"/>
  <c r="N44" i="1"/>
  <c r="N45" i="1"/>
  <c r="N46" i="1"/>
  <c r="N47" i="1"/>
  <c r="S42" i="1"/>
  <c r="S43" i="1"/>
  <c r="S44" i="1"/>
  <c r="S45" i="1"/>
  <c r="S46" i="1"/>
  <c r="S47" i="1"/>
  <c r="R42" i="1"/>
  <c r="R43" i="1"/>
  <c r="R44" i="1"/>
  <c r="R45" i="1"/>
  <c r="R46" i="1"/>
  <c r="R47" i="1"/>
  <c r="C42" i="1"/>
  <c r="C43" i="1"/>
  <c r="C44" i="1"/>
  <c r="C45" i="1"/>
  <c r="C46" i="1"/>
  <c r="C47" i="1"/>
  <c r="D249" i="11"/>
  <c r="C249" i="11"/>
  <c r="C248" i="11"/>
  <c r="D248" i="11" s="1"/>
  <c r="C247" i="11"/>
  <c r="D247" i="11" s="1"/>
  <c r="D246" i="11"/>
  <c r="C246" i="11"/>
  <c r="D245" i="11"/>
  <c r="C245" i="11"/>
  <c r="D244" i="11"/>
  <c r="C244" i="11"/>
  <c r="C243" i="11"/>
  <c r="D243" i="11" s="1"/>
  <c r="D242" i="11"/>
  <c r="C242" i="11"/>
  <c r="D241" i="11"/>
  <c r="C241" i="11"/>
  <c r="C240" i="11"/>
  <c r="D240" i="11" s="1"/>
  <c r="C239" i="11"/>
  <c r="D239" i="11" s="1"/>
  <c r="D238" i="11"/>
  <c r="C238" i="11"/>
  <c r="C237" i="11"/>
  <c r="D237" i="11" s="1"/>
  <c r="C236" i="11"/>
  <c r="D236" i="11" s="1"/>
  <c r="C235" i="11"/>
  <c r="D235" i="11" s="1"/>
  <c r="D234" i="11"/>
  <c r="C234" i="11"/>
  <c r="D233" i="11"/>
  <c r="C233" i="11"/>
  <c r="C232" i="11"/>
  <c r="D232" i="11" s="1"/>
  <c r="C231" i="11"/>
  <c r="D231" i="11" s="1"/>
  <c r="D230" i="11"/>
  <c r="C230" i="11"/>
  <c r="C229" i="11"/>
  <c r="D229" i="11" s="1"/>
  <c r="D228" i="11"/>
  <c r="C228" i="11"/>
  <c r="C227" i="11"/>
  <c r="D227" i="11" s="1"/>
  <c r="D226" i="11"/>
  <c r="C226" i="11"/>
  <c r="C225" i="11"/>
  <c r="D225" i="11" s="1"/>
  <c r="D224" i="11"/>
  <c r="C224" i="11"/>
  <c r="D223" i="11"/>
  <c r="D222" i="11"/>
  <c r="C222" i="11"/>
  <c r="C221" i="11"/>
  <c r="D221" i="11" s="1"/>
  <c r="D220" i="11"/>
  <c r="D219" i="11"/>
  <c r="C219" i="11"/>
  <c r="C218" i="11"/>
  <c r="D218" i="11" s="1"/>
  <c r="D217" i="11"/>
  <c r="C217" i="11"/>
  <c r="D216" i="11"/>
  <c r="C216" i="11"/>
  <c r="D215" i="11"/>
  <c r="C215" i="11"/>
  <c r="D214" i="11"/>
  <c r="C214" i="11"/>
  <c r="D213" i="11"/>
  <c r="C213" i="11"/>
  <c r="D212" i="11"/>
  <c r="C212" i="11"/>
  <c r="D211" i="11"/>
  <c r="C211" i="11"/>
  <c r="D210" i="11"/>
  <c r="C210" i="11"/>
  <c r="D209" i="11"/>
  <c r="C209" i="11"/>
  <c r="D208" i="11"/>
  <c r="C208" i="11"/>
  <c r="D207" i="11"/>
  <c r="C207" i="11"/>
  <c r="C206" i="11"/>
  <c r="D206" i="11" s="1"/>
  <c r="C205" i="11"/>
  <c r="D205" i="11" s="1"/>
  <c r="D204" i="11"/>
  <c r="C204" i="11"/>
  <c r="C203" i="11"/>
  <c r="D203" i="11" s="1"/>
  <c r="C202" i="11"/>
  <c r="D202" i="11" s="1"/>
  <c r="C201" i="11"/>
  <c r="D201" i="11" s="1"/>
  <c r="C200" i="11"/>
  <c r="D200" i="11" s="1"/>
  <c r="C199" i="11"/>
  <c r="D199" i="11" s="1"/>
  <c r="C198" i="11"/>
  <c r="D198" i="11" s="1"/>
  <c r="C197" i="11"/>
  <c r="D197" i="11" s="1"/>
  <c r="C196" i="11"/>
  <c r="D196" i="11" s="1"/>
  <c r="C195" i="11"/>
  <c r="D195" i="11" s="1"/>
  <c r="C194" i="11"/>
  <c r="D194" i="11" s="1"/>
  <c r="C193" i="11"/>
  <c r="D193" i="11" s="1"/>
  <c r="C192" i="11"/>
  <c r="D192" i="11" s="1"/>
  <c r="C191" i="11"/>
  <c r="D191" i="11" s="1"/>
  <c r="C190" i="11"/>
  <c r="D190" i="11" s="1"/>
  <c r="C189" i="11"/>
  <c r="D189" i="11" s="1"/>
  <c r="C188" i="11"/>
  <c r="D188" i="11" s="1"/>
  <c r="C187" i="11"/>
  <c r="D187" i="11" s="1"/>
  <c r="C186" i="11"/>
  <c r="D186" i="11" s="1"/>
  <c r="D185" i="11"/>
  <c r="C185" i="11"/>
  <c r="C184" i="11"/>
  <c r="D184" i="11" s="1"/>
  <c r="C183" i="11"/>
  <c r="D183" i="11" s="1"/>
  <c r="C182" i="11"/>
  <c r="D182" i="11" s="1"/>
  <c r="C181" i="11"/>
  <c r="D181" i="11" s="1"/>
  <c r="C180" i="11"/>
  <c r="D180" i="11" s="1"/>
  <c r="C179" i="11"/>
  <c r="D179" i="11" s="1"/>
  <c r="C178" i="11"/>
  <c r="D178" i="11" s="1"/>
  <c r="C177" i="11"/>
  <c r="D177" i="11" s="1"/>
  <c r="C176" i="11"/>
  <c r="D176" i="11" s="1"/>
  <c r="C175" i="11"/>
  <c r="D175" i="11" s="1"/>
  <c r="C174" i="11"/>
  <c r="D174" i="11" s="1"/>
  <c r="C173" i="11"/>
  <c r="D173" i="11" s="1"/>
  <c r="C172" i="11"/>
  <c r="D172" i="11" s="1"/>
  <c r="D171" i="11"/>
  <c r="C171" i="11"/>
  <c r="C170" i="11"/>
  <c r="D170" i="11" s="1"/>
  <c r="C169" i="11"/>
  <c r="D169" i="11" s="1"/>
  <c r="C168" i="11"/>
  <c r="D168" i="11" s="1"/>
  <c r="D167" i="11"/>
  <c r="C167" i="11"/>
  <c r="C166" i="11"/>
  <c r="D166" i="11" s="1"/>
  <c r="D165" i="11"/>
  <c r="C164" i="11"/>
  <c r="D164" i="11" s="1"/>
  <c r="D163" i="11"/>
  <c r="C163" i="11"/>
  <c r="C162" i="11"/>
  <c r="D162" i="11" s="1"/>
  <c r="D161" i="11"/>
  <c r="C161" i="11"/>
  <c r="C160" i="11"/>
  <c r="D160" i="11" s="1"/>
  <c r="D159" i="11"/>
  <c r="C159" i="11"/>
  <c r="C158" i="11"/>
  <c r="D158" i="11" s="1"/>
  <c r="D157" i="11"/>
  <c r="C157" i="11"/>
  <c r="C156" i="11"/>
  <c r="D156" i="11" s="1"/>
  <c r="C155" i="11"/>
  <c r="D155" i="11" s="1"/>
  <c r="C154" i="11"/>
  <c r="D154" i="11" s="1"/>
  <c r="D153" i="11"/>
  <c r="C153" i="11"/>
  <c r="C152" i="11"/>
  <c r="D152" i="11" s="1"/>
  <c r="C151" i="11"/>
  <c r="D151" i="11" s="1"/>
  <c r="D150" i="11"/>
  <c r="C150" i="11"/>
  <c r="C149" i="11"/>
  <c r="D149" i="11" s="1"/>
  <c r="D148" i="11"/>
  <c r="C148" i="11"/>
  <c r="D147" i="11"/>
  <c r="C146" i="11"/>
  <c r="D146" i="11" s="1"/>
  <c r="C145" i="11"/>
  <c r="D145" i="11" s="1"/>
  <c r="D144" i="11"/>
  <c r="C144" i="11"/>
  <c r="C143" i="11"/>
  <c r="D143" i="11" s="1"/>
  <c r="C142" i="11"/>
  <c r="D142" i="11" s="1"/>
  <c r="C141" i="11"/>
  <c r="D141" i="11" s="1"/>
  <c r="D140" i="11"/>
  <c r="C140" i="11"/>
  <c r="C139" i="11"/>
  <c r="D139" i="11" s="1"/>
  <c r="D138" i="11"/>
  <c r="C138" i="11"/>
  <c r="C137" i="11"/>
  <c r="D137" i="11" s="1"/>
  <c r="D136" i="11"/>
  <c r="C136" i="11"/>
  <c r="C135" i="11"/>
  <c r="D135" i="11" s="1"/>
  <c r="D134" i="11"/>
  <c r="C134" i="11"/>
  <c r="C133" i="11"/>
  <c r="D133" i="11" s="1"/>
  <c r="D132" i="11"/>
  <c r="C132" i="11"/>
  <c r="D131" i="11"/>
  <c r="D130" i="11"/>
  <c r="C130" i="11"/>
  <c r="D129" i="11"/>
  <c r="C129" i="11"/>
  <c r="C128" i="11"/>
  <c r="D128" i="11" s="1"/>
  <c r="C127" i="11"/>
  <c r="D127" i="11" s="1"/>
  <c r="D126" i="11"/>
  <c r="C126" i="11"/>
  <c r="D125" i="11"/>
  <c r="C125" i="11"/>
  <c r="D124" i="11"/>
  <c r="C124" i="11"/>
  <c r="C123" i="11"/>
  <c r="D123" i="11" s="1"/>
  <c r="C122" i="11"/>
  <c r="D122" i="11" s="1"/>
  <c r="D121" i="11"/>
  <c r="C121" i="11"/>
  <c r="D120" i="11"/>
  <c r="C120" i="11"/>
  <c r="C119" i="11"/>
  <c r="D119" i="11" s="1"/>
  <c r="C118" i="11"/>
  <c r="D118" i="11" s="1"/>
  <c r="D117" i="11"/>
  <c r="C117" i="11"/>
  <c r="D116" i="11"/>
  <c r="D115" i="11"/>
  <c r="C115" i="11"/>
  <c r="D114" i="11"/>
  <c r="C114" i="11"/>
  <c r="C113" i="11"/>
  <c r="D113" i="11" s="1"/>
  <c r="C112" i="11"/>
  <c r="D112" i="11" s="1"/>
  <c r="C111" i="11"/>
  <c r="D111" i="11" s="1"/>
  <c r="D110" i="11"/>
  <c r="C110" i="11"/>
  <c r="D109" i="11"/>
  <c r="C109" i="11"/>
  <c r="C108" i="11"/>
  <c r="D108" i="11" s="1"/>
  <c r="D107" i="11"/>
  <c r="C107" i="11"/>
  <c r="D106" i="11"/>
  <c r="C106" i="11"/>
  <c r="C105" i="11"/>
  <c r="D105" i="11" s="1"/>
  <c r="C104" i="11"/>
  <c r="D104" i="11" s="1"/>
  <c r="D103" i="11"/>
  <c r="D102" i="11"/>
  <c r="C102" i="11"/>
  <c r="C101" i="11"/>
  <c r="D101" i="11" s="1"/>
  <c r="C100" i="11"/>
  <c r="D100" i="11" s="1"/>
  <c r="D99" i="11"/>
  <c r="C99" i="11"/>
  <c r="D98" i="11"/>
  <c r="C98" i="11"/>
  <c r="C97" i="11"/>
  <c r="D97" i="11" s="1"/>
  <c r="C96" i="11"/>
  <c r="D96" i="11" s="1"/>
  <c r="D95" i="11"/>
  <c r="C95" i="11"/>
  <c r="D94" i="11"/>
  <c r="C94" i="11"/>
  <c r="C93" i="11"/>
  <c r="D93" i="11" s="1"/>
  <c r="C92" i="11"/>
  <c r="D92" i="11" s="1"/>
  <c r="D91" i="11"/>
  <c r="C90" i="11"/>
  <c r="D90" i="11" s="1"/>
  <c r="D89" i="11"/>
  <c r="C89" i="11"/>
  <c r="C88" i="11"/>
  <c r="D88" i="11" s="1"/>
  <c r="D87" i="11"/>
  <c r="C87" i="11"/>
  <c r="C86" i="11"/>
  <c r="D86" i="11" s="1"/>
  <c r="D85" i="11"/>
  <c r="C85" i="11"/>
  <c r="C84" i="11"/>
  <c r="D84" i="11" s="1"/>
  <c r="C83" i="11"/>
  <c r="D83" i="11" s="1"/>
  <c r="C82" i="11"/>
  <c r="D82" i="11" s="1"/>
  <c r="D81" i="11"/>
  <c r="D80" i="11"/>
  <c r="C80" i="11"/>
  <c r="D79" i="11"/>
  <c r="C79" i="11"/>
  <c r="C78" i="11"/>
  <c r="D78" i="11" s="1"/>
  <c r="D77" i="11"/>
  <c r="C77" i="11"/>
  <c r="D76" i="11"/>
  <c r="C76" i="11"/>
  <c r="D75" i="11"/>
  <c r="C75" i="11"/>
  <c r="C74" i="11"/>
  <c r="D74" i="11" s="1"/>
  <c r="D73" i="11"/>
  <c r="C73" i="11"/>
  <c r="D72" i="11"/>
  <c r="C71" i="11"/>
  <c r="D71" i="11" s="1"/>
  <c r="D70" i="11"/>
  <c r="C70" i="11"/>
  <c r="C69" i="11"/>
  <c r="D69" i="11" s="1"/>
  <c r="C68" i="11"/>
  <c r="D68" i="11" s="1"/>
  <c r="D67" i="11"/>
  <c r="C67" i="11"/>
  <c r="C66" i="11"/>
  <c r="D66" i="11" s="1"/>
  <c r="D65" i="11"/>
  <c r="D64" i="11"/>
  <c r="C64" i="11"/>
  <c r="C63" i="11"/>
  <c r="D63" i="11" s="1"/>
  <c r="C62" i="11"/>
  <c r="D62" i="11" s="1"/>
  <c r="D61" i="11"/>
  <c r="C61" i="11"/>
  <c r="C60" i="11"/>
  <c r="D60" i="11" s="1"/>
  <c r="D59" i="11"/>
  <c r="C58" i="11"/>
  <c r="D58" i="11" s="1"/>
  <c r="C57" i="11"/>
  <c r="D57" i="11" s="1"/>
  <c r="D56" i="11"/>
  <c r="C56" i="11"/>
  <c r="D55" i="11"/>
  <c r="D54" i="11"/>
  <c r="C54" i="11"/>
  <c r="D53" i="11"/>
  <c r="C53" i="11"/>
  <c r="D52" i="11"/>
  <c r="F51" i="11"/>
  <c r="E51" i="11"/>
  <c r="D51" i="11"/>
  <c r="F47" i="11"/>
  <c r="E47" i="11"/>
  <c r="D47" i="11"/>
  <c r="C44" i="11"/>
  <c r="D44" i="11" s="1"/>
  <c r="D43" i="11"/>
  <c r="C43" i="11"/>
  <c r="D42" i="11"/>
  <c r="D41" i="11"/>
  <c r="C41" i="11"/>
  <c r="D40" i="11"/>
  <c r="C40" i="11"/>
  <c r="C39" i="11"/>
  <c r="D39" i="11" s="1"/>
  <c r="D38" i="11"/>
  <c r="C38" i="11"/>
  <c r="D37" i="11"/>
  <c r="C37" i="11"/>
  <c r="D36" i="11"/>
  <c r="C36" i="11"/>
  <c r="D35" i="11"/>
  <c r="C34" i="11"/>
  <c r="D34" i="11" s="1"/>
  <c r="C33" i="11"/>
  <c r="D33" i="11" s="1"/>
  <c r="D32" i="11"/>
  <c r="C32" i="11"/>
  <c r="C31" i="11"/>
  <c r="D31" i="11" s="1"/>
  <c r="C30" i="11"/>
  <c r="D30" i="11" s="1"/>
  <c r="D29" i="11"/>
  <c r="C28" i="11"/>
  <c r="D28" i="11" s="1"/>
  <c r="C27" i="11"/>
  <c r="D27" i="11" s="1"/>
  <c r="D26" i="11"/>
  <c r="C26" i="11"/>
  <c r="D25" i="11"/>
  <c r="C24" i="11"/>
  <c r="D24" i="11" s="1"/>
  <c r="C23" i="11"/>
  <c r="D23" i="11" s="1"/>
  <c r="D22" i="11"/>
  <c r="F21" i="11"/>
  <c r="E21" i="11"/>
  <c r="D21" i="11"/>
  <c r="A52" i="11"/>
  <c r="A22" i="11"/>
  <c r="G8" i="11"/>
  <c r="E8" i="11"/>
  <c r="C8" i="11"/>
  <c r="E6" i="11"/>
  <c r="G3" i="11"/>
  <c r="E3" i="11"/>
  <c r="C3" i="11"/>
  <c r="A53" i="12" l="1"/>
  <c r="F53" i="12" s="1"/>
  <c r="F22" i="11"/>
  <c r="A23" i="11"/>
  <c r="E52" i="12"/>
  <c r="A25" i="12"/>
  <c r="F24" i="12"/>
  <c r="E24" i="12"/>
  <c r="F52" i="12"/>
  <c r="E23" i="12"/>
  <c r="F23" i="12"/>
  <c r="E22" i="12"/>
  <c r="F22" i="12"/>
  <c r="F52" i="11"/>
  <c r="A53" i="11"/>
  <c r="E52" i="11"/>
  <c r="E22" i="11"/>
  <c r="E53" i="12" l="1"/>
  <c r="A54" i="12"/>
  <c r="A55" i="12" s="1"/>
  <c r="A24" i="11"/>
  <c r="E24" i="11" s="1"/>
  <c r="E23" i="11"/>
  <c r="F23" i="11"/>
  <c r="E25" i="12"/>
  <c r="A26" i="12"/>
  <c r="F25" i="12"/>
  <c r="A54" i="11"/>
  <c r="F53" i="11"/>
  <c r="E53" i="11"/>
  <c r="E54" i="12" l="1"/>
  <c r="F54" i="12"/>
  <c r="A25" i="11"/>
  <c r="F24" i="11"/>
  <c r="F26" i="12"/>
  <c r="E26" i="12"/>
  <c r="A27" i="12"/>
  <c r="A56" i="12"/>
  <c r="F55" i="12"/>
  <c r="E55" i="12"/>
  <c r="A55" i="11"/>
  <c r="F54" i="11"/>
  <c r="E54" i="11"/>
  <c r="A26" i="11" l="1"/>
  <c r="F25" i="11"/>
  <c r="E25" i="11"/>
  <c r="A28" i="12"/>
  <c r="F27" i="12"/>
  <c r="E27" i="12"/>
  <c r="E56" i="12"/>
  <c r="A57" i="12"/>
  <c r="F56" i="12"/>
  <c r="F55" i="11"/>
  <c r="A56" i="11"/>
  <c r="E55" i="11"/>
  <c r="F26" i="11" l="1"/>
  <c r="E26" i="11"/>
  <c r="A27" i="11"/>
  <c r="E28" i="12"/>
  <c r="A29" i="12"/>
  <c r="F28" i="12"/>
  <c r="F57" i="12"/>
  <c r="E57" i="12"/>
  <c r="A58" i="12"/>
  <c r="A57" i="11"/>
  <c r="F56" i="11"/>
  <c r="E56" i="11"/>
  <c r="F27" i="11" l="1"/>
  <c r="A28" i="11"/>
  <c r="E27" i="11"/>
  <c r="F29" i="12"/>
  <c r="A30" i="12"/>
  <c r="E29" i="12"/>
  <c r="A59" i="12"/>
  <c r="F58" i="12"/>
  <c r="E58" i="12"/>
  <c r="A58" i="11"/>
  <c r="F57" i="11"/>
  <c r="E57" i="11"/>
  <c r="F28" i="11" l="1"/>
  <c r="E28" i="11"/>
  <c r="A29" i="11"/>
  <c r="A31" i="12"/>
  <c r="F30" i="12"/>
  <c r="E30" i="12"/>
  <c r="A60" i="12"/>
  <c r="F59" i="12"/>
  <c r="E59" i="12"/>
  <c r="A59" i="11"/>
  <c r="F58" i="11"/>
  <c r="E58" i="11"/>
  <c r="E29" i="11" l="1"/>
  <c r="A30" i="11"/>
  <c r="F29" i="11"/>
  <c r="F60" i="12"/>
  <c r="E60" i="12"/>
  <c r="A61" i="12"/>
  <c r="A32" i="12"/>
  <c r="F31" i="12"/>
  <c r="E31" i="12"/>
  <c r="A60" i="11"/>
  <c r="F59" i="11"/>
  <c r="E59" i="11"/>
  <c r="E30" i="11" l="1"/>
  <c r="F30" i="11"/>
  <c r="A31" i="11"/>
  <c r="F32" i="12"/>
  <c r="A33" i="12"/>
  <c r="E32" i="12"/>
  <c r="A62" i="12"/>
  <c r="F61" i="12"/>
  <c r="E61" i="12"/>
  <c r="A61" i="11"/>
  <c r="F60" i="11"/>
  <c r="E60" i="11"/>
  <c r="A32" i="11" l="1"/>
  <c r="E31" i="11"/>
  <c r="F31" i="11"/>
  <c r="A63" i="12"/>
  <c r="F62" i="12"/>
  <c r="E62" i="12"/>
  <c r="F33" i="12"/>
  <c r="E33" i="12"/>
  <c r="A34" i="12"/>
  <c r="F61" i="11"/>
  <c r="A62" i="11"/>
  <c r="E61" i="11"/>
  <c r="A33" i="11" l="1"/>
  <c r="F32" i="11"/>
  <c r="E32" i="11"/>
  <c r="A64" i="12"/>
  <c r="E63" i="12"/>
  <c r="F63" i="12"/>
  <c r="A35" i="12"/>
  <c r="F34" i="12"/>
  <c r="E34" i="12"/>
  <c r="E62" i="11"/>
  <c r="A63" i="11"/>
  <c r="F62" i="11"/>
  <c r="A34" i="11" l="1"/>
  <c r="F33" i="11"/>
  <c r="E33" i="11"/>
  <c r="E35" i="12"/>
  <c r="A36" i="12"/>
  <c r="F35" i="12"/>
  <c r="F64" i="12"/>
  <c r="E64" i="12"/>
  <c r="A65" i="12"/>
  <c r="E63" i="11"/>
  <c r="A64" i="11"/>
  <c r="F63" i="11"/>
  <c r="F34" i="11" l="1"/>
  <c r="E34" i="11"/>
  <c r="A35" i="11"/>
  <c r="E36" i="12"/>
  <c r="A37" i="12"/>
  <c r="F36" i="12"/>
  <c r="A66" i="12"/>
  <c r="F65" i="12"/>
  <c r="E65" i="12"/>
  <c r="A65" i="11"/>
  <c r="E64" i="11"/>
  <c r="F64" i="11"/>
  <c r="S49" i="1"/>
  <c r="R49" i="1"/>
  <c r="N49" i="1"/>
  <c r="C49" i="1"/>
  <c r="A36" i="11" l="1"/>
  <c r="F35" i="11"/>
  <c r="E35" i="11"/>
  <c r="F37" i="12"/>
  <c r="E37" i="12"/>
  <c r="A38" i="12"/>
  <c r="A67" i="12"/>
  <c r="F66" i="12"/>
  <c r="E66" i="12"/>
  <c r="F65" i="11"/>
  <c r="E65" i="11"/>
  <c r="A66" i="11"/>
  <c r="S50" i="1"/>
  <c r="R50" i="1"/>
  <c r="N50" i="1"/>
  <c r="C50" i="1"/>
  <c r="E36" i="11" l="1"/>
  <c r="A37" i="11"/>
  <c r="F36" i="11"/>
  <c r="E67" i="12"/>
  <c r="A68" i="12"/>
  <c r="F67" i="12"/>
  <c r="A39" i="12"/>
  <c r="F38" i="12"/>
  <c r="E38" i="12"/>
  <c r="A67" i="11"/>
  <c r="F66" i="11"/>
  <c r="E66" i="11"/>
  <c r="C249" i="10"/>
  <c r="D249" i="10" s="1"/>
  <c r="C248" i="10"/>
  <c r="D248" i="10" s="1"/>
  <c r="C247" i="10"/>
  <c r="D247" i="10" s="1"/>
  <c r="C246" i="10"/>
  <c r="D246" i="10" s="1"/>
  <c r="C245" i="10"/>
  <c r="D245" i="10" s="1"/>
  <c r="C244" i="10"/>
  <c r="D244" i="10" s="1"/>
  <c r="D243" i="10"/>
  <c r="C243" i="10"/>
  <c r="C242" i="10"/>
  <c r="D242" i="10" s="1"/>
  <c r="C241" i="10"/>
  <c r="D241" i="10" s="1"/>
  <c r="C240" i="10"/>
  <c r="D240" i="10" s="1"/>
  <c r="C239" i="10"/>
  <c r="D239" i="10" s="1"/>
  <c r="C238" i="10"/>
  <c r="D238" i="10" s="1"/>
  <c r="D237" i="10"/>
  <c r="C237" i="10"/>
  <c r="D236" i="10"/>
  <c r="C236" i="10"/>
  <c r="D235" i="10"/>
  <c r="C235" i="10"/>
  <c r="C234" i="10"/>
  <c r="D234" i="10" s="1"/>
  <c r="C233" i="10"/>
  <c r="D233" i="10" s="1"/>
  <c r="C232" i="10"/>
  <c r="D232" i="10" s="1"/>
  <c r="C231" i="10"/>
  <c r="D231" i="10" s="1"/>
  <c r="C230" i="10"/>
  <c r="D230" i="10" s="1"/>
  <c r="D229" i="10"/>
  <c r="C229" i="10"/>
  <c r="D228" i="10"/>
  <c r="C228" i="10"/>
  <c r="D227" i="10"/>
  <c r="C227" i="10"/>
  <c r="C226" i="10"/>
  <c r="D226" i="10" s="1"/>
  <c r="C225" i="10"/>
  <c r="D225" i="10" s="1"/>
  <c r="C224" i="10"/>
  <c r="D224" i="10" s="1"/>
  <c r="D223" i="10"/>
  <c r="C222" i="10"/>
  <c r="D222" i="10" s="1"/>
  <c r="C221" i="10"/>
  <c r="D221" i="10" s="1"/>
  <c r="D220" i="10"/>
  <c r="C219" i="10"/>
  <c r="D219" i="10" s="1"/>
  <c r="C218" i="10"/>
  <c r="D218" i="10" s="1"/>
  <c r="C217" i="10"/>
  <c r="D217" i="10" s="1"/>
  <c r="C216" i="10"/>
  <c r="D216" i="10" s="1"/>
  <c r="D215" i="10"/>
  <c r="C215" i="10"/>
  <c r="C214" i="10"/>
  <c r="D214" i="10" s="1"/>
  <c r="C213" i="10"/>
  <c r="D213" i="10" s="1"/>
  <c r="C212" i="10"/>
  <c r="D212" i="10" s="1"/>
  <c r="C211" i="10"/>
  <c r="D211" i="10" s="1"/>
  <c r="C210" i="10"/>
  <c r="D210" i="10" s="1"/>
  <c r="C209" i="10"/>
  <c r="D209" i="10" s="1"/>
  <c r="C208" i="10"/>
  <c r="D208" i="10" s="1"/>
  <c r="D207" i="10"/>
  <c r="C207" i="10"/>
  <c r="C206" i="10"/>
  <c r="D206" i="10" s="1"/>
  <c r="C205" i="10"/>
  <c r="D205" i="10" s="1"/>
  <c r="C204" i="10"/>
  <c r="D204" i="10" s="1"/>
  <c r="C203" i="10"/>
  <c r="D203" i="10" s="1"/>
  <c r="C202" i="10"/>
  <c r="D202" i="10" s="1"/>
  <c r="C201" i="10"/>
  <c r="D201" i="10" s="1"/>
  <c r="C200" i="10"/>
  <c r="D200" i="10" s="1"/>
  <c r="D199" i="10"/>
  <c r="C199" i="10"/>
  <c r="C198" i="10"/>
  <c r="D198" i="10" s="1"/>
  <c r="C197" i="10"/>
  <c r="D197" i="10" s="1"/>
  <c r="C196" i="10"/>
  <c r="D196" i="10" s="1"/>
  <c r="C195" i="10"/>
  <c r="D195" i="10" s="1"/>
  <c r="C194" i="10"/>
  <c r="D194" i="10" s="1"/>
  <c r="C193" i="10"/>
  <c r="D193" i="10" s="1"/>
  <c r="C192" i="10"/>
  <c r="D192" i="10" s="1"/>
  <c r="D191" i="10"/>
  <c r="C191" i="10"/>
  <c r="C190" i="10"/>
  <c r="D190" i="10" s="1"/>
  <c r="C189" i="10"/>
  <c r="D189" i="10" s="1"/>
  <c r="C188" i="10"/>
  <c r="D188" i="10" s="1"/>
  <c r="C187" i="10"/>
  <c r="D187" i="10" s="1"/>
  <c r="C186" i="10"/>
  <c r="D186" i="10" s="1"/>
  <c r="C185" i="10"/>
  <c r="D185" i="10" s="1"/>
  <c r="C184" i="10"/>
  <c r="D184" i="10" s="1"/>
  <c r="D183" i="10"/>
  <c r="C183" i="10"/>
  <c r="C182" i="10"/>
  <c r="D182" i="10" s="1"/>
  <c r="C181" i="10"/>
  <c r="D181" i="10" s="1"/>
  <c r="C180" i="10"/>
  <c r="D180" i="10" s="1"/>
  <c r="C179" i="10"/>
  <c r="D179" i="10" s="1"/>
  <c r="C178" i="10"/>
  <c r="D178" i="10" s="1"/>
  <c r="C177" i="10"/>
  <c r="D177" i="10" s="1"/>
  <c r="C176" i="10"/>
  <c r="D176" i="10" s="1"/>
  <c r="D175" i="10"/>
  <c r="C175" i="10"/>
  <c r="C174" i="10"/>
  <c r="D174" i="10" s="1"/>
  <c r="C173" i="10"/>
  <c r="D173" i="10" s="1"/>
  <c r="C172" i="10"/>
  <c r="D172" i="10" s="1"/>
  <c r="C171" i="10"/>
  <c r="D171" i="10" s="1"/>
  <c r="C170" i="10"/>
  <c r="D170" i="10" s="1"/>
  <c r="C169" i="10"/>
  <c r="D169" i="10" s="1"/>
  <c r="C168" i="10"/>
  <c r="D168" i="10" s="1"/>
  <c r="D167" i="10"/>
  <c r="C167" i="10"/>
  <c r="C166" i="10"/>
  <c r="D166" i="10" s="1"/>
  <c r="D165" i="10"/>
  <c r="D164" i="10"/>
  <c r="C164" i="10"/>
  <c r="C163" i="10"/>
  <c r="D163" i="10" s="1"/>
  <c r="C162" i="10"/>
  <c r="D162" i="10" s="1"/>
  <c r="C161" i="10"/>
  <c r="D161" i="10" s="1"/>
  <c r="C160" i="10"/>
  <c r="D160" i="10" s="1"/>
  <c r="C159" i="10"/>
  <c r="D159" i="10" s="1"/>
  <c r="D158" i="10"/>
  <c r="C158" i="10"/>
  <c r="D157" i="10"/>
  <c r="C157" i="10"/>
  <c r="D156" i="10"/>
  <c r="C156" i="10"/>
  <c r="C155" i="10"/>
  <c r="D155" i="10" s="1"/>
  <c r="D154" i="10"/>
  <c r="C154" i="10"/>
  <c r="C153" i="10"/>
  <c r="D153" i="10" s="1"/>
  <c r="C152" i="10"/>
  <c r="D152" i="10" s="1"/>
  <c r="C151" i="10"/>
  <c r="D151" i="10" s="1"/>
  <c r="D150" i="10"/>
  <c r="C150" i="10"/>
  <c r="C149" i="10"/>
  <c r="D149" i="10" s="1"/>
  <c r="D148" i="10"/>
  <c r="C148" i="10"/>
  <c r="D147" i="10"/>
  <c r="C146" i="10"/>
  <c r="D146" i="10" s="1"/>
  <c r="D145" i="10"/>
  <c r="C145" i="10"/>
  <c r="C144" i="10"/>
  <c r="D144" i="10" s="1"/>
  <c r="D143" i="10"/>
  <c r="C143" i="10"/>
  <c r="C142" i="10"/>
  <c r="D142" i="10" s="1"/>
  <c r="D141" i="10"/>
  <c r="C141" i="10"/>
  <c r="C140" i="10"/>
  <c r="D140" i="10" s="1"/>
  <c r="C139" i="10"/>
  <c r="D139" i="10" s="1"/>
  <c r="C138" i="10"/>
  <c r="D138" i="10" s="1"/>
  <c r="D137" i="10"/>
  <c r="C137" i="10"/>
  <c r="D136" i="10"/>
  <c r="C136" i="10"/>
  <c r="D135" i="10"/>
  <c r="C135" i="10"/>
  <c r="C134" i="10"/>
  <c r="D134" i="10" s="1"/>
  <c r="D133" i="10"/>
  <c r="C133" i="10"/>
  <c r="C132" i="10"/>
  <c r="D132" i="10" s="1"/>
  <c r="D131" i="10"/>
  <c r="D130" i="10"/>
  <c r="C130" i="10"/>
  <c r="C129" i="10"/>
  <c r="D129" i="10" s="1"/>
  <c r="D128" i="10"/>
  <c r="C128" i="10"/>
  <c r="C127" i="10"/>
  <c r="D127" i="10" s="1"/>
  <c r="C126" i="10"/>
  <c r="D126" i="10" s="1"/>
  <c r="C125" i="10"/>
  <c r="D125" i="10" s="1"/>
  <c r="D124" i="10"/>
  <c r="C124" i="10"/>
  <c r="C123" i="10"/>
  <c r="D123" i="10" s="1"/>
  <c r="C122" i="10"/>
  <c r="D122" i="10" s="1"/>
  <c r="C121" i="10"/>
  <c r="D121" i="10" s="1"/>
  <c r="D120" i="10"/>
  <c r="C120" i="10"/>
  <c r="C119" i="10"/>
  <c r="D119" i="10" s="1"/>
  <c r="C118" i="10"/>
  <c r="D118" i="10" s="1"/>
  <c r="C117" i="10"/>
  <c r="D117" i="10" s="1"/>
  <c r="D116" i="10"/>
  <c r="D115" i="10"/>
  <c r="C115" i="10"/>
  <c r="C114" i="10"/>
  <c r="D114" i="10" s="1"/>
  <c r="C113" i="10"/>
  <c r="D113" i="10" s="1"/>
  <c r="C112" i="10"/>
  <c r="D112" i="10" s="1"/>
  <c r="C111" i="10"/>
  <c r="D111" i="10" s="1"/>
  <c r="C110" i="10"/>
  <c r="D110" i="10" s="1"/>
  <c r="C109" i="10"/>
  <c r="D109" i="10" s="1"/>
  <c r="C108" i="10"/>
  <c r="D108" i="10" s="1"/>
  <c r="D107" i="10"/>
  <c r="C107" i="10"/>
  <c r="C106" i="10"/>
  <c r="D106" i="10" s="1"/>
  <c r="C105" i="10"/>
  <c r="D105" i="10" s="1"/>
  <c r="C104" i="10"/>
  <c r="D104" i="10" s="1"/>
  <c r="D103" i="10"/>
  <c r="D102" i="10"/>
  <c r="C102" i="10"/>
  <c r="C101" i="10"/>
  <c r="D101" i="10" s="1"/>
  <c r="C100" i="10"/>
  <c r="D100" i="10" s="1"/>
  <c r="C99" i="10"/>
  <c r="D99" i="10" s="1"/>
  <c r="C98" i="10"/>
  <c r="D98" i="10" s="1"/>
  <c r="C97" i="10"/>
  <c r="D97" i="10" s="1"/>
  <c r="D96" i="10"/>
  <c r="C96" i="10"/>
  <c r="C95" i="10"/>
  <c r="D95" i="10" s="1"/>
  <c r="D94" i="10"/>
  <c r="C94" i="10"/>
  <c r="C93" i="10"/>
  <c r="D93" i="10" s="1"/>
  <c r="C92" i="10"/>
  <c r="D92" i="10" s="1"/>
  <c r="D91" i="10"/>
  <c r="C90" i="10"/>
  <c r="D90" i="10" s="1"/>
  <c r="D89" i="10"/>
  <c r="C89" i="10"/>
  <c r="C88" i="10"/>
  <c r="D88" i="10" s="1"/>
  <c r="C87" i="10"/>
  <c r="D87" i="10" s="1"/>
  <c r="C86" i="10"/>
  <c r="D86" i="10" s="1"/>
  <c r="C85" i="10"/>
  <c r="D85" i="10" s="1"/>
  <c r="D84" i="10"/>
  <c r="C84" i="10"/>
  <c r="C83" i="10"/>
  <c r="D83" i="10" s="1"/>
  <c r="C82" i="10"/>
  <c r="D82" i="10" s="1"/>
  <c r="D81" i="10"/>
  <c r="C80" i="10"/>
  <c r="D80" i="10" s="1"/>
  <c r="D79" i="10"/>
  <c r="C79" i="10"/>
  <c r="C78" i="10"/>
  <c r="D78" i="10" s="1"/>
  <c r="C77" i="10"/>
  <c r="D77" i="10" s="1"/>
  <c r="D76" i="10"/>
  <c r="C76" i="10"/>
  <c r="C75" i="10"/>
  <c r="D75" i="10" s="1"/>
  <c r="C74" i="10"/>
  <c r="D74" i="10" s="1"/>
  <c r="C73" i="10"/>
  <c r="D73" i="10" s="1"/>
  <c r="D72" i="10"/>
  <c r="D71" i="10"/>
  <c r="C71" i="10"/>
  <c r="C70" i="10"/>
  <c r="D70" i="10" s="1"/>
  <c r="C69" i="10"/>
  <c r="D69" i="10" s="1"/>
  <c r="C68" i="10"/>
  <c r="D68" i="10" s="1"/>
  <c r="D67" i="10"/>
  <c r="C67" i="10"/>
  <c r="C66" i="10"/>
  <c r="D66" i="10" s="1"/>
  <c r="D65" i="10"/>
  <c r="C64" i="10"/>
  <c r="D64" i="10" s="1"/>
  <c r="C63" i="10"/>
  <c r="D63" i="10" s="1"/>
  <c r="D62" i="10"/>
  <c r="C62" i="10"/>
  <c r="D61" i="10"/>
  <c r="C61" i="10"/>
  <c r="D60" i="10"/>
  <c r="C60" i="10"/>
  <c r="D59" i="10"/>
  <c r="C58" i="10"/>
  <c r="D58" i="10" s="1"/>
  <c r="D57" i="10"/>
  <c r="C57" i="10"/>
  <c r="D56" i="10"/>
  <c r="C56" i="10"/>
  <c r="D55" i="10"/>
  <c r="C54" i="10"/>
  <c r="D54" i="10" s="1"/>
  <c r="C53" i="10"/>
  <c r="D53" i="10" s="1"/>
  <c r="D52" i="10"/>
  <c r="F51" i="10"/>
  <c r="E51" i="10"/>
  <c r="D51" i="10"/>
  <c r="F47" i="10"/>
  <c r="E47" i="10"/>
  <c r="D47" i="10"/>
  <c r="C44" i="10"/>
  <c r="C43" i="10"/>
  <c r="D43" i="10" s="1"/>
  <c r="D42" i="10"/>
  <c r="C41" i="10"/>
  <c r="D41" i="10" s="1"/>
  <c r="C40" i="10"/>
  <c r="D40" i="10" s="1"/>
  <c r="C39" i="10"/>
  <c r="D39" i="10" s="1"/>
  <c r="C38" i="10"/>
  <c r="D38" i="10" s="1"/>
  <c r="D37" i="10"/>
  <c r="C37" i="10"/>
  <c r="C36" i="10"/>
  <c r="D36" i="10" s="1"/>
  <c r="D35" i="10"/>
  <c r="C34" i="10"/>
  <c r="D34" i="10" s="1"/>
  <c r="C33" i="10"/>
  <c r="D33" i="10" s="1"/>
  <c r="D32" i="10"/>
  <c r="C32" i="10"/>
  <c r="D31" i="10"/>
  <c r="C31" i="10"/>
  <c r="C30" i="10"/>
  <c r="D30" i="10" s="1"/>
  <c r="D29" i="10"/>
  <c r="C28" i="10"/>
  <c r="D28" i="10" s="1"/>
  <c r="C27" i="10"/>
  <c r="D27" i="10" s="1"/>
  <c r="D26" i="10"/>
  <c r="C26" i="10"/>
  <c r="D25" i="10"/>
  <c r="C24" i="10"/>
  <c r="D24" i="10" s="1"/>
  <c r="C23" i="10"/>
  <c r="D23" i="10" s="1"/>
  <c r="D22" i="10"/>
  <c r="F21" i="10"/>
  <c r="E21" i="10"/>
  <c r="D21" i="10"/>
  <c r="E37" i="11" l="1"/>
  <c r="A38" i="11"/>
  <c r="F37" i="11"/>
  <c r="F68" i="12"/>
  <c r="E68" i="12"/>
  <c r="A69" i="12"/>
  <c r="A40" i="12"/>
  <c r="E39" i="12"/>
  <c r="F39" i="12"/>
  <c r="A68" i="11"/>
  <c r="F67" i="11"/>
  <c r="E67" i="11"/>
  <c r="D44" i="10"/>
  <c r="A39" i="11" l="1"/>
  <c r="E38" i="11"/>
  <c r="F38" i="11"/>
  <c r="A41" i="12"/>
  <c r="F40" i="12"/>
  <c r="E40" i="12"/>
  <c r="A70" i="12"/>
  <c r="F69" i="12"/>
  <c r="E69" i="12"/>
  <c r="A69" i="11"/>
  <c r="F68" i="11"/>
  <c r="E68" i="11"/>
  <c r="E39" i="11" l="1"/>
  <c r="A40" i="11"/>
  <c r="F39" i="11"/>
  <c r="A71" i="12"/>
  <c r="F70" i="12"/>
  <c r="E70" i="12"/>
  <c r="A42" i="12"/>
  <c r="F41" i="12"/>
  <c r="E41" i="12"/>
  <c r="F69" i="11"/>
  <c r="E69" i="11"/>
  <c r="A70" i="11"/>
  <c r="E40" i="11" l="1"/>
  <c r="A41" i="11"/>
  <c r="F40" i="11"/>
  <c r="E71" i="12"/>
  <c r="A72" i="12"/>
  <c r="F71" i="12"/>
  <c r="F42" i="12"/>
  <c r="E42" i="12"/>
  <c r="A43" i="12"/>
  <c r="A71" i="11"/>
  <c r="F70" i="11"/>
  <c r="E70" i="11"/>
  <c r="E41" i="11" l="1"/>
  <c r="A42" i="11"/>
  <c r="F41" i="11"/>
  <c r="A44" i="12"/>
  <c r="E43" i="12"/>
  <c r="F43" i="12"/>
  <c r="A73" i="12"/>
  <c r="F72" i="12"/>
  <c r="E72" i="12"/>
  <c r="A72" i="11"/>
  <c r="F71" i="11"/>
  <c r="E71" i="11"/>
  <c r="F42" i="11" l="1"/>
  <c r="E42" i="11"/>
  <c r="A43" i="11"/>
  <c r="E44" i="12"/>
  <c r="E20" i="12" s="1"/>
  <c r="F44" i="12"/>
  <c r="F20" i="12" s="1"/>
  <c r="A74" i="12"/>
  <c r="F73" i="12"/>
  <c r="E73" i="12"/>
  <c r="E72" i="11"/>
  <c r="A73" i="11"/>
  <c r="F72" i="11"/>
  <c r="F43" i="11" l="1"/>
  <c r="E43" i="11"/>
  <c r="A44" i="11"/>
  <c r="G21" i="12"/>
  <c r="G22" i="12"/>
  <c r="G23" i="12"/>
  <c r="G24" i="12"/>
  <c r="G25" i="12"/>
  <c r="G26" i="12"/>
  <c r="G27" i="12"/>
  <c r="G28" i="12"/>
  <c r="G29" i="12"/>
  <c r="G30" i="12"/>
  <c r="G31" i="12"/>
  <c r="G32" i="12"/>
  <c r="G33" i="12"/>
  <c r="G34" i="12"/>
  <c r="G35" i="12"/>
  <c r="G36" i="12"/>
  <c r="G37" i="12"/>
  <c r="G38" i="12"/>
  <c r="G39" i="12"/>
  <c r="G40" i="12"/>
  <c r="G41" i="12"/>
  <c r="G42" i="12"/>
  <c r="G43" i="12"/>
  <c r="G44" i="12"/>
  <c r="E74" i="12"/>
  <c r="F74" i="12"/>
  <c r="E73" i="11"/>
  <c r="A74" i="11"/>
  <c r="F73" i="11"/>
  <c r="E44" i="11" l="1"/>
  <c r="E20" i="11" s="1"/>
  <c r="F44" i="11"/>
  <c r="F20" i="11" s="1"/>
  <c r="E74" i="11"/>
  <c r="F74" i="11"/>
  <c r="A75" i="11"/>
  <c r="G25" i="11" l="1"/>
  <c r="G33" i="11"/>
  <c r="G41" i="11"/>
  <c r="G26" i="11"/>
  <c r="G34" i="11"/>
  <c r="G42" i="11"/>
  <c r="G35" i="11"/>
  <c r="G36" i="11"/>
  <c r="G37" i="11"/>
  <c r="G23" i="11"/>
  <c r="G21" i="11"/>
  <c r="G38" i="11"/>
  <c r="G27" i="11"/>
  <c r="G43" i="11"/>
  <c r="G28" i="11"/>
  <c r="G29" i="11"/>
  <c r="G44" i="11"/>
  <c r="G32" i="11"/>
  <c r="G39" i="11"/>
  <c r="G40" i="11"/>
  <c r="G22" i="11"/>
  <c r="G30" i="11"/>
  <c r="G24" i="11"/>
  <c r="G31" i="11"/>
  <c r="F75" i="11"/>
  <c r="A76" i="11"/>
  <c r="E75" i="11"/>
  <c r="E76" i="11" l="1"/>
  <c r="A77" i="11"/>
  <c r="F76" i="11"/>
  <c r="E77" i="11" l="1"/>
  <c r="A78" i="11"/>
  <c r="F77" i="11"/>
  <c r="E78" i="11" l="1"/>
  <c r="F78" i="11"/>
  <c r="A79" i="11"/>
  <c r="F79" i="11" l="1"/>
  <c r="A80" i="11"/>
  <c r="E79" i="11"/>
  <c r="E80" i="11" l="1"/>
  <c r="A81" i="11"/>
  <c r="F80" i="11"/>
  <c r="A82" i="11" l="1"/>
  <c r="F81" i="11"/>
  <c r="E81" i="11"/>
  <c r="A83" i="11" l="1"/>
  <c r="F82" i="11"/>
  <c r="E82" i="11"/>
  <c r="A84" i="11" l="1"/>
  <c r="F83" i="11"/>
  <c r="E83" i="11"/>
  <c r="F84" i="11" l="1"/>
  <c r="A85" i="11"/>
  <c r="E84" i="11"/>
  <c r="A86" i="11" l="1"/>
  <c r="F85" i="11"/>
  <c r="E85" i="11"/>
  <c r="A87" i="11" l="1"/>
  <c r="F86" i="11"/>
  <c r="E86" i="11"/>
  <c r="A88" i="11" l="1"/>
  <c r="E87" i="11"/>
  <c r="F87" i="11"/>
  <c r="F88" i="11" l="1"/>
  <c r="E88" i="11"/>
  <c r="A89" i="11"/>
  <c r="A90" i="11" l="1"/>
  <c r="F89" i="11"/>
  <c r="E89" i="11"/>
  <c r="A91" i="11" l="1"/>
  <c r="F90" i="11"/>
  <c r="E90" i="11"/>
  <c r="E91" i="11" l="1"/>
  <c r="A92" i="11"/>
  <c r="F91" i="11"/>
  <c r="F92" i="11" l="1"/>
  <c r="E92" i="11"/>
  <c r="A93" i="11"/>
  <c r="A94" i="11" l="1"/>
  <c r="F93" i="11"/>
  <c r="E93" i="11"/>
  <c r="A95" i="11" l="1"/>
  <c r="F94" i="11"/>
  <c r="E94" i="11"/>
  <c r="E95" i="11" l="1"/>
  <c r="A96" i="11"/>
  <c r="F95" i="11"/>
  <c r="F96" i="11" l="1"/>
  <c r="E96" i="11"/>
  <c r="A97" i="11"/>
  <c r="A98" i="11" l="1"/>
  <c r="F97" i="11"/>
  <c r="E97" i="11"/>
  <c r="A99" i="11" l="1"/>
  <c r="F98" i="11"/>
  <c r="E98" i="11"/>
  <c r="E99" i="11" l="1"/>
  <c r="F99" i="11"/>
  <c r="A100" i="11"/>
  <c r="F100" i="11" l="1"/>
  <c r="A101" i="11"/>
  <c r="E100" i="11"/>
  <c r="A102" i="11" l="1"/>
  <c r="F101" i="11"/>
  <c r="E101" i="11"/>
  <c r="A103" i="11" l="1"/>
  <c r="F102" i="11"/>
  <c r="E102" i="11"/>
  <c r="E103" i="11" l="1"/>
  <c r="F103" i="11"/>
  <c r="A104" i="11"/>
  <c r="F104" i="11" l="1"/>
  <c r="E104" i="11"/>
  <c r="A105" i="11"/>
  <c r="F105" i="11" l="1"/>
  <c r="E105" i="11"/>
  <c r="A106" i="11"/>
  <c r="A107" i="11" l="1"/>
  <c r="E106" i="11"/>
  <c r="F106" i="11"/>
  <c r="E107" i="11" l="1"/>
  <c r="A108" i="11"/>
  <c r="F107" i="11"/>
  <c r="A109" i="11" l="1"/>
  <c r="E108" i="11"/>
  <c r="F108" i="11"/>
  <c r="A110" i="11" l="1"/>
  <c r="F109" i="11"/>
  <c r="E109" i="11"/>
  <c r="A111" i="11" l="1"/>
  <c r="E110" i="11"/>
  <c r="F110" i="11"/>
  <c r="E111" i="11" l="1"/>
  <c r="A112" i="11"/>
  <c r="F111" i="11"/>
  <c r="F112" i="11" l="1"/>
  <c r="A113" i="11"/>
  <c r="E112" i="11"/>
  <c r="A114" i="11" l="1"/>
  <c r="F113" i="11"/>
  <c r="E113" i="11"/>
  <c r="A115" i="11" l="1"/>
  <c r="F114" i="11"/>
  <c r="E114" i="11"/>
  <c r="F115" i="11" l="1"/>
  <c r="E115" i="11"/>
  <c r="A116" i="11"/>
  <c r="F116" i="11" l="1"/>
  <c r="E116" i="11"/>
  <c r="A117" i="11"/>
  <c r="A118" i="11" l="1"/>
  <c r="E117" i="11"/>
  <c r="F117" i="11"/>
  <c r="E118" i="11" l="1"/>
  <c r="A119" i="11"/>
  <c r="F118" i="11"/>
  <c r="A120" i="11" l="1"/>
  <c r="F119" i="11"/>
  <c r="E119" i="11"/>
  <c r="F120" i="11" l="1"/>
  <c r="E120" i="11"/>
  <c r="A121" i="11"/>
  <c r="A122" i="11" l="1"/>
  <c r="E121" i="11"/>
  <c r="F121" i="11"/>
  <c r="F122" i="11" l="1"/>
  <c r="E122" i="11"/>
  <c r="A123" i="11"/>
  <c r="A124" i="11" l="1"/>
  <c r="E123" i="11"/>
  <c r="F123" i="11"/>
  <c r="F124" i="11" l="1"/>
  <c r="A125" i="11"/>
  <c r="E124" i="11"/>
  <c r="A126" i="11" l="1"/>
  <c r="F125" i="11"/>
  <c r="E125" i="11"/>
  <c r="F126" i="11" l="1"/>
  <c r="E126" i="11"/>
  <c r="A127" i="11"/>
  <c r="A128" i="11" l="1"/>
  <c r="E127" i="11"/>
  <c r="F127" i="11"/>
  <c r="F128" i="11" l="1"/>
  <c r="A129" i="11"/>
  <c r="E128" i="11"/>
  <c r="A130" i="11" l="1"/>
  <c r="F129" i="11"/>
  <c r="E129" i="11"/>
  <c r="F130" i="11" l="1"/>
  <c r="E130" i="11"/>
  <c r="A131" i="11"/>
  <c r="A132" i="11" l="1"/>
  <c r="F131" i="11"/>
  <c r="E131" i="11"/>
  <c r="A133" i="11" l="1"/>
  <c r="F132" i="11"/>
  <c r="E132" i="11"/>
  <c r="E133" i="11" l="1"/>
  <c r="F133" i="11"/>
  <c r="A134" i="11"/>
  <c r="F134" i="11" l="1"/>
  <c r="A135" i="11"/>
  <c r="E134" i="11"/>
  <c r="A136" i="11" l="1"/>
  <c r="F135" i="11"/>
  <c r="E135" i="11"/>
  <c r="A137" i="11" l="1"/>
  <c r="F136" i="11"/>
  <c r="E136" i="11"/>
  <c r="E137" i="11" l="1"/>
  <c r="F137" i="11"/>
  <c r="A138" i="11"/>
  <c r="F138" i="11" l="1"/>
  <c r="A139" i="11"/>
  <c r="E138" i="11"/>
  <c r="A140" i="11" l="1"/>
  <c r="F139" i="11"/>
  <c r="E139" i="11"/>
  <c r="F140" i="11" l="1"/>
  <c r="E140" i="11"/>
  <c r="A141" i="11"/>
  <c r="A142" i="11" l="1"/>
  <c r="F141" i="11"/>
  <c r="E141" i="11"/>
  <c r="F142" i="11" l="1"/>
  <c r="E142" i="11"/>
  <c r="A143" i="11"/>
  <c r="A144" i="11" l="1"/>
  <c r="F143" i="11"/>
  <c r="E143" i="11"/>
  <c r="F144" i="11" l="1"/>
  <c r="E144" i="11"/>
  <c r="A145" i="11"/>
  <c r="A146" i="11" l="1"/>
  <c r="F145" i="11"/>
  <c r="E145" i="11"/>
  <c r="F146" i="11" l="1"/>
  <c r="E146" i="11"/>
  <c r="A147" i="11"/>
  <c r="E147" i="11" l="1"/>
  <c r="F147" i="11"/>
  <c r="A148" i="11"/>
  <c r="F148" i="11" l="1"/>
  <c r="A149" i="11"/>
  <c r="E148" i="11"/>
  <c r="A150" i="11" l="1"/>
  <c r="E149" i="11"/>
  <c r="F149" i="11"/>
  <c r="A151" i="11" l="1"/>
  <c r="F150" i="11"/>
  <c r="E150" i="11"/>
  <c r="E151" i="11" l="1"/>
  <c r="F151" i="11"/>
  <c r="A152" i="11"/>
  <c r="A153" i="11" l="1"/>
  <c r="F152" i="11"/>
  <c r="E152" i="11"/>
  <c r="F153" i="11" l="1"/>
  <c r="E153" i="11"/>
  <c r="A154" i="11"/>
  <c r="A155" i="11" l="1"/>
  <c r="E154" i="11"/>
  <c r="F154" i="11"/>
  <c r="F155" i="11" l="1"/>
  <c r="E155" i="11"/>
  <c r="A156" i="11"/>
  <c r="A157" i="11" l="1"/>
  <c r="E156" i="11"/>
  <c r="F156" i="11"/>
  <c r="F157" i="11" l="1"/>
  <c r="A158" i="11"/>
  <c r="E157" i="11"/>
  <c r="E158" i="11" l="1"/>
  <c r="A159" i="11"/>
  <c r="F158" i="11"/>
  <c r="F159" i="11" l="1"/>
  <c r="A160" i="11"/>
  <c r="E159" i="11"/>
  <c r="A161" i="11" l="1"/>
  <c r="F160" i="11"/>
  <c r="E160" i="11"/>
  <c r="F161" i="11" l="1"/>
  <c r="A162" i="11"/>
  <c r="E161" i="11"/>
  <c r="E162" i="11" l="1"/>
  <c r="A163" i="11"/>
  <c r="F162" i="11"/>
  <c r="F163" i="11" l="1"/>
  <c r="A164" i="11"/>
  <c r="E163" i="11"/>
  <c r="A165" i="11" l="1"/>
  <c r="F164" i="11"/>
  <c r="E164" i="11"/>
  <c r="A166" i="11" l="1"/>
  <c r="E165" i="11"/>
  <c r="F165" i="11"/>
  <c r="F166" i="11" l="1"/>
  <c r="E166" i="11"/>
  <c r="A167" i="11"/>
  <c r="A168" i="11" l="1"/>
  <c r="F167" i="11"/>
  <c r="E167" i="11"/>
  <c r="E168" i="11" l="1"/>
  <c r="F168" i="11"/>
  <c r="A169" i="11"/>
  <c r="F169" i="11" l="1"/>
  <c r="E169" i="11"/>
  <c r="A170" i="11"/>
  <c r="F170" i="11" l="1"/>
  <c r="E170" i="11"/>
  <c r="A171" i="11"/>
  <c r="A172" i="11" l="1"/>
  <c r="F171" i="11"/>
  <c r="E171" i="11"/>
  <c r="E172" i="11" l="1"/>
  <c r="F172" i="11"/>
  <c r="A173" i="11"/>
  <c r="A174" i="11" l="1"/>
  <c r="F173" i="11"/>
  <c r="E173" i="11"/>
  <c r="A175" i="11" l="1"/>
  <c r="F174" i="11"/>
  <c r="E174" i="11"/>
  <c r="A176" i="11" l="1"/>
  <c r="E175" i="11"/>
  <c r="F175" i="11"/>
  <c r="A177" i="11" l="1"/>
  <c r="F176" i="11"/>
  <c r="E176" i="11"/>
  <c r="F177" i="11" l="1"/>
  <c r="A178" i="11"/>
  <c r="E177" i="11"/>
  <c r="A179" i="11" l="1"/>
  <c r="E178" i="11"/>
  <c r="F178" i="11"/>
  <c r="F179" i="11" l="1"/>
  <c r="E179" i="11"/>
  <c r="A180" i="11"/>
  <c r="F180" i="11" l="1"/>
  <c r="A181" i="11"/>
  <c r="E180" i="11"/>
  <c r="A182" i="11" l="1"/>
  <c r="F181" i="11"/>
  <c r="E181" i="11"/>
  <c r="A183" i="11" l="1"/>
  <c r="E182" i="11"/>
  <c r="F182" i="11"/>
  <c r="F183" i="11" l="1"/>
  <c r="A184" i="11"/>
  <c r="E183" i="11"/>
  <c r="F184" i="11" l="1"/>
  <c r="A185" i="11"/>
  <c r="E184" i="11"/>
  <c r="A186" i="11" l="1"/>
  <c r="F185" i="11"/>
  <c r="E185" i="11"/>
  <c r="A187" i="11" l="1"/>
  <c r="F186" i="11"/>
  <c r="E186" i="11"/>
  <c r="F187" i="11" l="1"/>
  <c r="E187" i="11"/>
  <c r="A188" i="11"/>
  <c r="F188" i="11" l="1"/>
  <c r="A189" i="11"/>
  <c r="E188" i="11"/>
  <c r="A190" i="11" l="1"/>
  <c r="F189" i="11"/>
  <c r="E189" i="11"/>
  <c r="A191" i="11" l="1"/>
  <c r="F190" i="11"/>
  <c r="E190" i="11"/>
  <c r="F191" i="11" l="1"/>
  <c r="A192" i="11"/>
  <c r="E191" i="11"/>
  <c r="F192" i="11" l="1"/>
  <c r="A193" i="11"/>
  <c r="E192" i="11"/>
  <c r="A194" i="11" l="1"/>
  <c r="F193" i="11"/>
  <c r="E193" i="11"/>
  <c r="F194" i="11" l="1"/>
  <c r="E194" i="11"/>
  <c r="A195" i="11"/>
  <c r="A196" i="11" l="1"/>
  <c r="F195" i="11"/>
  <c r="E195" i="11"/>
  <c r="F196" i="11" l="1"/>
  <c r="E196" i="11"/>
  <c r="A197" i="11"/>
  <c r="A198" i="11" l="1"/>
  <c r="F197" i="11"/>
  <c r="E197" i="11"/>
  <c r="F198" i="11" l="1"/>
  <c r="E198" i="11"/>
  <c r="A199" i="11"/>
  <c r="A200" i="11" l="1"/>
  <c r="F199" i="11"/>
  <c r="E199" i="11"/>
  <c r="F200" i="11" l="1"/>
  <c r="E200" i="11"/>
  <c r="A201" i="11"/>
  <c r="A202" i="11" l="1"/>
  <c r="F201" i="11"/>
  <c r="E201" i="11"/>
  <c r="F202" i="11" l="1"/>
  <c r="A203" i="11"/>
  <c r="E202" i="11"/>
  <c r="F203" i="11" l="1"/>
  <c r="A204" i="11"/>
  <c r="E203" i="11"/>
  <c r="A205" i="11" l="1"/>
  <c r="F204" i="11"/>
  <c r="E204" i="11"/>
  <c r="A206" i="11" l="1"/>
  <c r="F205" i="11"/>
  <c r="E205" i="11"/>
  <c r="F206" i="11" l="1"/>
  <c r="E206" i="11"/>
  <c r="A207" i="11"/>
  <c r="F207" i="11" l="1"/>
  <c r="A208" i="11"/>
  <c r="E207" i="11"/>
  <c r="E208" i="11" l="1"/>
  <c r="F208" i="11"/>
  <c r="A209" i="11"/>
  <c r="E209" i="11" l="1"/>
  <c r="F209" i="11"/>
  <c r="A210" i="11"/>
  <c r="A211" i="11" l="1"/>
  <c r="E210" i="11"/>
  <c r="F210" i="11"/>
  <c r="A212" i="11" l="1"/>
  <c r="F211" i="11"/>
  <c r="E211" i="11"/>
  <c r="E212" i="11" l="1"/>
  <c r="F212" i="11"/>
  <c r="A213" i="11"/>
  <c r="F213" i="11" l="1"/>
  <c r="E213" i="11"/>
  <c r="A214" i="11"/>
  <c r="A215" i="11" l="1"/>
  <c r="E214" i="11"/>
  <c r="F214" i="11"/>
  <c r="F215" i="11" l="1"/>
  <c r="E215" i="11"/>
  <c r="A216" i="11"/>
  <c r="E216" i="11" l="1"/>
  <c r="F216" i="11"/>
  <c r="A217" i="11"/>
  <c r="F217" i="11" l="1"/>
  <c r="A218" i="11"/>
  <c r="E217" i="11"/>
  <c r="A219" i="11" l="1"/>
  <c r="F218" i="11"/>
  <c r="E218" i="11"/>
  <c r="E219" i="11" l="1"/>
  <c r="A220" i="11"/>
  <c r="F219" i="11"/>
  <c r="F220" i="11" l="1"/>
  <c r="A221" i="11"/>
  <c r="E220" i="11"/>
  <c r="A222" i="11" l="1"/>
  <c r="F221" i="11"/>
  <c r="E221" i="11"/>
  <c r="A223" i="11" l="1"/>
  <c r="F222" i="11"/>
  <c r="E222" i="11"/>
  <c r="E223" i="11" l="1"/>
  <c r="A224" i="11"/>
  <c r="F223" i="11"/>
  <c r="A225" i="11" l="1"/>
  <c r="E224" i="11"/>
  <c r="F224" i="11"/>
  <c r="A226" i="11" l="1"/>
  <c r="F225" i="11"/>
  <c r="E225" i="11"/>
  <c r="F226" i="11" l="1"/>
  <c r="A227" i="11"/>
  <c r="E226" i="11"/>
  <c r="E227" i="11" l="1"/>
  <c r="F227" i="11"/>
  <c r="A228" i="11"/>
  <c r="A229" i="11" l="1"/>
  <c r="F228" i="11"/>
  <c r="E228" i="11"/>
  <c r="A230" i="11" l="1"/>
  <c r="F229" i="11"/>
  <c r="E229" i="11"/>
  <c r="E230" i="11" l="1"/>
  <c r="F230" i="11"/>
  <c r="A231" i="11"/>
  <c r="F231" i="11" l="1"/>
  <c r="E231" i="11"/>
  <c r="A232" i="11"/>
  <c r="A233" i="11" l="1"/>
  <c r="F232" i="11"/>
  <c r="E232" i="11"/>
  <c r="A234" i="11" l="1"/>
  <c r="E233" i="11"/>
  <c r="F233" i="11"/>
  <c r="F234" i="11" l="1"/>
  <c r="A235" i="11"/>
  <c r="E234" i="11"/>
  <c r="F235" i="11" l="1"/>
  <c r="E235" i="11"/>
  <c r="A236" i="11"/>
  <c r="A237" i="11" l="1"/>
  <c r="F236" i="11"/>
  <c r="E236" i="11"/>
  <c r="A238" i="11" l="1"/>
  <c r="E237" i="11"/>
  <c r="F237" i="11"/>
  <c r="E238" i="11" l="1"/>
  <c r="A239" i="11"/>
  <c r="F238" i="11"/>
  <c r="F239" i="11" l="1"/>
  <c r="E239" i="11"/>
  <c r="A240" i="11"/>
  <c r="A241" i="11" l="1"/>
  <c r="F240" i="11"/>
  <c r="E240" i="11"/>
  <c r="A242" i="11" l="1"/>
  <c r="F241" i="11"/>
  <c r="E241" i="11"/>
  <c r="A243" i="11" l="1"/>
  <c r="E242" i="11"/>
  <c r="F242" i="11"/>
  <c r="F243" i="11" l="1"/>
  <c r="E243" i="11"/>
  <c r="A244" i="11"/>
  <c r="A245" i="11" l="1"/>
  <c r="F244" i="11"/>
  <c r="E244" i="11"/>
  <c r="A246" i="11" l="1"/>
  <c r="F245" i="11"/>
  <c r="E245" i="11"/>
  <c r="A247" i="11" l="1"/>
  <c r="E246" i="11"/>
  <c r="F246" i="11"/>
  <c r="F247" i="11" l="1"/>
  <c r="E247" i="11"/>
  <c r="A248" i="11"/>
  <c r="F50" i="12" l="1"/>
  <c r="E50" i="12"/>
  <c r="A249" i="11"/>
  <c r="F248" i="11"/>
  <c r="E248" i="11"/>
  <c r="G51" i="12" l="1"/>
  <c r="G53" i="12"/>
  <c r="G52" i="12"/>
  <c r="G54" i="12"/>
  <c r="G55" i="12"/>
  <c r="G56" i="12"/>
  <c r="G57" i="12"/>
  <c r="G58" i="12"/>
  <c r="G59" i="12"/>
  <c r="G60" i="12"/>
  <c r="G61" i="12"/>
  <c r="G62" i="12"/>
  <c r="G63" i="12"/>
  <c r="G64" i="12"/>
  <c r="G65" i="12"/>
  <c r="G66" i="12"/>
  <c r="G67" i="12"/>
  <c r="G68" i="12"/>
  <c r="G69" i="12"/>
  <c r="G70" i="12"/>
  <c r="G71" i="12"/>
  <c r="G72" i="12"/>
  <c r="G73" i="12"/>
  <c r="G74" i="12"/>
  <c r="F249" i="11"/>
  <c r="F50" i="11" s="1"/>
  <c r="E249" i="11"/>
  <c r="E50" i="11" s="1"/>
  <c r="G249" i="11" l="1"/>
  <c r="G171" i="11"/>
  <c r="G172" i="11"/>
  <c r="G173" i="11"/>
  <c r="G174" i="11"/>
  <c r="G175" i="11"/>
  <c r="G176" i="11"/>
  <c r="G177" i="11"/>
  <c r="G178" i="11"/>
  <c r="G179" i="11"/>
  <c r="G180" i="11"/>
  <c r="G181" i="11"/>
  <c r="G182" i="11"/>
  <c r="G183" i="11"/>
  <c r="G184" i="11"/>
  <c r="G185" i="11"/>
  <c r="G186" i="11"/>
  <c r="G187" i="11"/>
  <c r="G188" i="11"/>
  <c r="G189" i="11"/>
  <c r="G190" i="11"/>
  <c r="G191" i="11"/>
  <c r="G192" i="11"/>
  <c r="G193" i="11"/>
  <c r="G194" i="11"/>
  <c r="G195" i="11"/>
  <c r="G196" i="11"/>
  <c r="G197" i="11"/>
  <c r="G198" i="11"/>
  <c r="G199" i="11"/>
  <c r="G200" i="11"/>
  <c r="G201" i="11"/>
  <c r="G202" i="11"/>
  <c r="G203" i="11"/>
  <c r="G204" i="11"/>
  <c r="G205" i="11"/>
  <c r="G206" i="11"/>
  <c r="G207" i="11"/>
  <c r="G208" i="11"/>
  <c r="G209" i="11"/>
  <c r="G210" i="11"/>
  <c r="G211" i="11"/>
  <c r="G212" i="11"/>
  <c r="G213" i="11"/>
  <c r="G214" i="11"/>
  <c r="G215" i="11"/>
  <c r="G216" i="11"/>
  <c r="G217" i="11"/>
  <c r="G218" i="11"/>
  <c r="G219" i="11"/>
  <c r="G220" i="11"/>
  <c r="G221" i="11"/>
  <c r="G222" i="11"/>
  <c r="G223" i="11"/>
  <c r="G224" i="11"/>
  <c r="G225" i="11"/>
  <c r="G226" i="11"/>
  <c r="G227" i="11"/>
  <c r="G228" i="11"/>
  <c r="G229" i="11"/>
  <c r="G230" i="11"/>
  <c r="G231" i="11"/>
  <c r="G232" i="11"/>
  <c r="G233" i="11"/>
  <c r="G234" i="11"/>
  <c r="G235" i="11"/>
  <c r="G236" i="11"/>
  <c r="G237" i="11"/>
  <c r="G238" i="11"/>
  <c r="G239" i="11"/>
  <c r="G240" i="11"/>
  <c r="G241" i="11"/>
  <c r="G242" i="11"/>
  <c r="G243" i="11"/>
  <c r="G244" i="11"/>
  <c r="G245" i="11"/>
  <c r="G246" i="11"/>
  <c r="G247" i="11"/>
  <c r="G248"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G145" i="11"/>
  <c r="G146" i="11"/>
  <c r="G147" i="11"/>
  <c r="G148" i="11"/>
  <c r="G149" i="11"/>
  <c r="G150" i="11"/>
  <c r="G151" i="11"/>
  <c r="G152" i="11"/>
  <c r="G153" i="11"/>
  <c r="G154" i="11"/>
  <c r="G155" i="11"/>
  <c r="G156" i="11"/>
  <c r="G157" i="11"/>
  <c r="G158" i="11"/>
  <c r="G159" i="11"/>
  <c r="G160" i="11"/>
  <c r="G161" i="11"/>
  <c r="G162" i="11"/>
  <c r="G163" i="11"/>
  <c r="G164" i="11"/>
  <c r="G165" i="11"/>
  <c r="G166" i="11"/>
  <c r="G167" i="11"/>
  <c r="G168" i="11"/>
  <c r="G169" i="11"/>
  <c r="G170" i="11"/>
  <c r="A52" i="10" l="1"/>
  <c r="A53" i="10" s="1"/>
  <c r="A22" i="10"/>
  <c r="C8" i="10"/>
  <c r="G8" i="10"/>
  <c r="E8" i="10"/>
  <c r="E6" i="10"/>
  <c r="G3" i="10"/>
  <c r="E3" i="10"/>
  <c r="C3" i="10"/>
  <c r="B7" i="4"/>
  <c r="B6" i="4"/>
  <c r="C2" i="2"/>
  <c r="B2" i="2"/>
  <c r="A2" i="2"/>
  <c r="I31" i="2"/>
  <c r="H31" i="2"/>
  <c r="G31" i="2"/>
  <c r="C31" i="2"/>
  <c r="B31" i="2"/>
  <c r="A31" i="2"/>
  <c r="B28" i="3"/>
  <c r="B29" i="3"/>
  <c r="B30" i="3"/>
  <c r="B31" i="3"/>
  <c r="B32" i="3"/>
  <c r="B33" i="3"/>
  <c r="B34" i="3"/>
  <c r="B35" i="3"/>
  <c r="B27" i="3"/>
  <c r="P9" i="8" l="1"/>
  <c r="Q6" i="8"/>
  <c r="G37" i="3"/>
  <c r="F37" i="3"/>
  <c r="F53" i="10"/>
  <c r="E53" i="10"/>
  <c r="A54" i="10"/>
  <c r="F52" i="10"/>
  <c r="E52" i="10"/>
  <c r="A23" i="10"/>
  <c r="E22" i="10"/>
  <c r="F22" i="10"/>
  <c r="G4" i="5"/>
  <c r="F5" i="5"/>
  <c r="B24" i="13" l="1"/>
  <c r="E54" i="10"/>
  <c r="A55" i="10"/>
  <c r="F54" i="10"/>
  <c r="A24" i="10"/>
  <c r="E23" i="10"/>
  <c r="F23" i="10"/>
  <c r="A56" i="10" l="1"/>
  <c r="E55" i="10"/>
  <c r="F55" i="10"/>
  <c r="A25" i="10"/>
  <c r="F24" i="10"/>
  <c r="E24" i="10"/>
  <c r="D102" i="5"/>
  <c r="C102" i="5"/>
  <c r="D101" i="5"/>
  <c r="C101" i="5"/>
  <c r="D70" i="5"/>
  <c r="D69" i="5"/>
  <c r="D68" i="5"/>
  <c r="D67" i="5"/>
  <c r="D64" i="5"/>
  <c r="E31" i="4"/>
  <c r="C31" i="4"/>
  <c r="S48" i="1"/>
  <c r="R48" i="1"/>
  <c r="N48" i="1"/>
  <c r="C48" i="1"/>
  <c r="H40" i="2"/>
  <c r="H39" i="2"/>
  <c r="H38" i="2"/>
  <c r="H37" i="2"/>
  <c r="H36" i="2"/>
  <c r="H35" i="2"/>
  <c r="D44" i="2"/>
  <c r="D45" i="2"/>
  <c r="D46" i="2"/>
  <c r="D47" i="2"/>
  <c r="D48" i="2"/>
  <c r="D49" i="2"/>
  <c r="D50" i="2"/>
  <c r="D51" i="2"/>
  <c r="D43" i="2"/>
  <c r="B40" i="2"/>
  <c r="B39" i="2"/>
  <c r="B38" i="2"/>
  <c r="B37" i="2"/>
  <c r="B36" i="2"/>
  <c r="B35" i="2"/>
  <c r="R16" i="1"/>
  <c r="R17" i="1"/>
  <c r="R18" i="1"/>
  <c r="R19" i="1"/>
  <c r="R20" i="1"/>
  <c r="R21" i="1"/>
  <c r="R22" i="1"/>
  <c r="R23" i="1"/>
  <c r="R24" i="1"/>
  <c r="R25" i="1"/>
  <c r="R26" i="1"/>
  <c r="R27" i="1"/>
  <c r="R28" i="1"/>
  <c r="R29" i="1"/>
  <c r="R30" i="1"/>
  <c r="R31" i="1"/>
  <c r="R32" i="1"/>
  <c r="R33" i="1"/>
  <c r="R34" i="1"/>
  <c r="R35" i="1"/>
  <c r="R36" i="1"/>
  <c r="R37" i="1"/>
  <c r="R15" i="1"/>
  <c r="R14" i="1"/>
  <c r="R13" i="1"/>
  <c r="R12" i="1"/>
  <c r="R11" i="1"/>
  <c r="R10" i="1"/>
  <c r="R9" i="1"/>
  <c r="R8" i="1"/>
  <c r="R7" i="1"/>
  <c r="R5" i="1"/>
  <c r="R4" i="1"/>
  <c r="R3" i="1"/>
  <c r="D26" i="2"/>
  <c r="D25" i="2"/>
  <c r="D24" i="2"/>
  <c r="D23" i="2"/>
  <c r="D22" i="2"/>
  <c r="D21" i="2"/>
  <c r="D20" i="2"/>
  <c r="D19" i="2"/>
  <c r="D18" i="2"/>
  <c r="D17" i="2"/>
  <c r="D16" i="2"/>
  <c r="D15" i="2"/>
  <c r="D14" i="2"/>
  <c r="D13" i="2"/>
  <c r="B6" i="2"/>
  <c r="F56" i="10" l="1"/>
  <c r="E56" i="10"/>
  <c r="A57" i="10"/>
  <c r="A26" i="10"/>
  <c r="E25" i="10"/>
  <c r="F25" i="10"/>
  <c r="C98" i="5"/>
  <c r="C99" i="5" s="1"/>
  <c r="D98" i="5"/>
  <c r="D99" i="5" s="1"/>
  <c r="C100" i="5"/>
  <c r="D100" i="5" s="1"/>
  <c r="B32" i="2"/>
  <c r="D31" i="2" s="1"/>
  <c r="C8" i="8" s="1"/>
  <c r="B4" i="13" s="1"/>
  <c r="B3" i="13" s="1"/>
  <c r="C30" i="13" s="1"/>
  <c r="H32" i="2"/>
  <c r="J31" i="2" s="1"/>
  <c r="B10" i="2"/>
  <c r="B9" i="2"/>
  <c r="B8" i="2"/>
  <c r="B7" i="2"/>
  <c r="C9" i="2" l="1"/>
  <c r="C7" i="2"/>
  <c r="C6" i="2"/>
  <c r="C8" i="2"/>
  <c r="F19" i="3"/>
  <c r="C2" i="12"/>
  <c r="C2" i="10"/>
  <c r="Z13" i="10" s="1"/>
  <c r="C2" i="11"/>
  <c r="F57" i="10"/>
  <c r="A58" i="10"/>
  <c r="E57" i="10"/>
  <c r="A27" i="10"/>
  <c r="E26" i="10"/>
  <c r="F26" i="10"/>
  <c r="F21" i="3"/>
  <c r="F22" i="3"/>
  <c r="C32" i="5"/>
  <c r="C32" i="8"/>
  <c r="C8" i="5"/>
  <c r="F20" i="3"/>
  <c r="F23" i="3" s="1"/>
  <c r="B3" i="2"/>
  <c r="C3" i="2" l="1"/>
  <c r="D2" i="2" s="1"/>
  <c r="C21" i="8" s="1"/>
  <c r="B4" i="4" s="1"/>
  <c r="B15" i="13"/>
  <c r="B14" i="13" s="1"/>
  <c r="C34" i="13" s="1"/>
  <c r="B22" i="13"/>
  <c r="C38" i="13" s="1"/>
  <c r="Z13" i="12"/>
  <c r="G2" i="10"/>
  <c r="AB13" i="10" s="1"/>
  <c r="G2" i="12"/>
  <c r="G2" i="11"/>
  <c r="Z13" i="11"/>
  <c r="F58" i="10"/>
  <c r="A59" i="10"/>
  <c r="E58" i="10"/>
  <c r="A28" i="10"/>
  <c r="E27" i="10"/>
  <c r="F27" i="10"/>
  <c r="B9" i="13" l="1"/>
  <c r="B8" i="13" s="1"/>
  <c r="C32" i="13" s="1"/>
  <c r="C28" i="13" s="1"/>
  <c r="AB13" i="11"/>
  <c r="AB13" i="12"/>
  <c r="E2" i="11"/>
  <c r="E2" i="12"/>
  <c r="A60" i="10"/>
  <c r="E59" i="10"/>
  <c r="F59" i="10"/>
  <c r="A29" i="10"/>
  <c r="E28" i="10"/>
  <c r="F28" i="10"/>
  <c r="E2" i="10"/>
  <c r="AA13" i="10" s="1"/>
  <c r="E12" i="8" l="1"/>
  <c r="AA13" i="11"/>
  <c r="AA13" i="12"/>
  <c r="A61" i="10"/>
  <c r="E60" i="10"/>
  <c r="F60" i="10"/>
  <c r="A30" i="10"/>
  <c r="F29" i="10"/>
  <c r="E29" i="10"/>
  <c r="F61" i="10" l="1"/>
  <c r="E61" i="10"/>
  <c r="A62" i="10"/>
  <c r="A31" i="10"/>
  <c r="E30" i="10"/>
  <c r="F30" i="10"/>
  <c r="E62" i="10" l="1"/>
  <c r="F62" i="10"/>
  <c r="A63" i="10"/>
  <c r="A32" i="10"/>
  <c r="E31" i="10"/>
  <c r="F31" i="10"/>
  <c r="S37" i="1"/>
  <c r="N37" i="1"/>
  <c r="C37" i="1"/>
  <c r="S36" i="1"/>
  <c r="N36" i="1"/>
  <c r="C36" i="1"/>
  <c r="S35" i="1"/>
  <c r="N35" i="1"/>
  <c r="C35" i="1"/>
  <c r="S34" i="1"/>
  <c r="N34" i="1"/>
  <c r="C34" i="1"/>
  <c r="S33" i="1"/>
  <c r="N33" i="1"/>
  <c r="C33" i="1"/>
  <c r="S32" i="1"/>
  <c r="N32" i="1"/>
  <c r="C32" i="1"/>
  <c r="S31" i="1"/>
  <c r="N31" i="1"/>
  <c r="C31" i="1"/>
  <c r="S30" i="1"/>
  <c r="N30" i="1"/>
  <c r="C30" i="1"/>
  <c r="S29" i="1"/>
  <c r="N29" i="1"/>
  <c r="C29" i="1"/>
  <c r="S28" i="1"/>
  <c r="N28" i="1"/>
  <c r="C28" i="1"/>
  <c r="S27" i="1"/>
  <c r="N27" i="1"/>
  <c r="C27" i="1"/>
  <c r="S26" i="1"/>
  <c r="N26" i="1"/>
  <c r="C26" i="1"/>
  <c r="S25" i="1"/>
  <c r="N25" i="1"/>
  <c r="C25" i="1"/>
  <c r="S24" i="1"/>
  <c r="N24" i="1"/>
  <c r="C24" i="1"/>
  <c r="S23" i="1"/>
  <c r="N23" i="1"/>
  <c r="C23" i="1"/>
  <c r="S22" i="1"/>
  <c r="N22" i="1"/>
  <c r="C22" i="1"/>
  <c r="S21" i="1"/>
  <c r="N21" i="1"/>
  <c r="C21" i="1"/>
  <c r="S20" i="1"/>
  <c r="N20" i="1"/>
  <c r="C20" i="1"/>
  <c r="S19" i="1"/>
  <c r="N19" i="1"/>
  <c r="C19" i="1"/>
  <c r="S18" i="1"/>
  <c r="N18" i="1"/>
  <c r="C18" i="1"/>
  <c r="S17" i="1"/>
  <c r="N17" i="1"/>
  <c r="C17" i="1"/>
  <c r="S16" i="1"/>
  <c r="N16" i="1"/>
  <c r="C16" i="1"/>
  <c r="S15" i="1"/>
  <c r="N15" i="1"/>
  <c r="C15" i="1"/>
  <c r="S14" i="1"/>
  <c r="N14" i="1"/>
  <c r="C14" i="1"/>
  <c r="S13" i="1"/>
  <c r="N13" i="1"/>
  <c r="C13" i="1"/>
  <c r="S12" i="1"/>
  <c r="N12" i="1"/>
  <c r="C12" i="1"/>
  <c r="U11" i="1"/>
  <c r="V11" i="1" s="1"/>
  <c r="S11" i="1"/>
  <c r="N11" i="1"/>
  <c r="C11" i="1"/>
  <c r="S10" i="1"/>
  <c r="N10" i="1"/>
  <c r="C10" i="1"/>
  <c r="S9" i="1"/>
  <c r="N9" i="1"/>
  <c r="C9" i="1"/>
  <c r="S8" i="1"/>
  <c r="N8" i="1"/>
  <c r="C8" i="1"/>
  <c r="S7" i="1"/>
  <c r="N7" i="1"/>
  <c r="C7" i="1"/>
  <c r="V5" i="1"/>
  <c r="S5" i="1"/>
  <c r="N5" i="1"/>
  <c r="C5" i="1"/>
  <c r="U4" i="1"/>
  <c r="V4" i="1" s="1"/>
  <c r="S4" i="1"/>
  <c r="N4" i="1"/>
  <c r="C4" i="1"/>
  <c r="V3" i="1"/>
  <c r="S3" i="1"/>
  <c r="N3" i="1"/>
  <c r="C3" i="1"/>
  <c r="B26" i="18" l="1"/>
  <c r="B53" i="18"/>
  <c r="C49" i="18"/>
  <c r="B22" i="18"/>
  <c r="C53" i="18"/>
  <c r="C22" i="18"/>
  <c r="B49" i="18"/>
  <c r="C26" i="18"/>
  <c r="C46" i="13"/>
  <c r="G9" i="8" s="1"/>
  <c r="B5" i="4"/>
  <c r="E13" i="11"/>
  <c r="E5" i="10"/>
  <c r="E14" i="12"/>
  <c r="E13" i="12"/>
  <c r="E14" i="11"/>
  <c r="E4" i="10"/>
  <c r="E4" i="12"/>
  <c r="E5" i="11"/>
  <c r="E5" i="12"/>
  <c r="E4" i="11"/>
  <c r="E13" i="10"/>
  <c r="E14" i="10"/>
  <c r="C4" i="12"/>
  <c r="C4" i="11"/>
  <c r="C13" i="10"/>
  <c r="C14" i="12"/>
  <c r="C5" i="10"/>
  <c r="C7" i="11"/>
  <c r="C9" i="11" s="1"/>
  <c r="C10" i="11" s="1"/>
  <c r="C4" i="10"/>
  <c r="C13" i="11"/>
  <c r="C7" i="10"/>
  <c r="C9" i="10" s="1"/>
  <c r="C10" i="10" s="1"/>
  <c r="C14" i="11"/>
  <c r="C5" i="11"/>
  <c r="C13" i="12"/>
  <c r="C14" i="10"/>
  <c r="C7" i="12"/>
  <c r="C9" i="12" s="1"/>
  <c r="C10" i="12" s="1"/>
  <c r="C5" i="12"/>
  <c r="G4" i="11"/>
  <c r="G13" i="12"/>
  <c r="G14" i="10"/>
  <c r="G4" i="12"/>
  <c r="G7" i="12"/>
  <c r="G9" i="12" s="1"/>
  <c r="G10" i="12" s="1"/>
  <c r="J47" i="12" s="1"/>
  <c r="G13" i="10"/>
  <c r="G13" i="11"/>
  <c r="G7" i="10"/>
  <c r="G9" i="10" s="1"/>
  <c r="G10" i="10" s="1"/>
  <c r="J47" i="10" s="1"/>
  <c r="G5" i="10"/>
  <c r="G4" i="10"/>
  <c r="G7" i="11"/>
  <c r="G9" i="11" s="1"/>
  <c r="G10" i="11" s="1"/>
  <c r="J47" i="11" s="1"/>
  <c r="G14" i="12"/>
  <c r="G14" i="11"/>
  <c r="G5" i="12"/>
  <c r="G5" i="11"/>
  <c r="E7" i="11"/>
  <c r="E9" i="11" s="1"/>
  <c r="E10" i="11" s="1"/>
  <c r="E7" i="10"/>
  <c r="E9" i="10" s="1"/>
  <c r="E10" i="10" s="1"/>
  <c r="J63" i="10" s="1"/>
  <c r="E7" i="12"/>
  <c r="E9" i="12" s="1"/>
  <c r="E10" i="12" s="1"/>
  <c r="A64" i="10"/>
  <c r="F63" i="10"/>
  <c r="E63" i="10"/>
  <c r="A33" i="10"/>
  <c r="E32" i="10"/>
  <c r="F32" i="10"/>
  <c r="K26" i="18" l="1"/>
  <c r="I26" i="18"/>
  <c r="J26" i="18"/>
  <c r="H26" i="18"/>
  <c r="E26" i="18"/>
  <c r="F26" i="18"/>
  <c r="D26" i="18"/>
  <c r="G26" i="18"/>
  <c r="I22" i="18"/>
  <c r="J22" i="18"/>
  <c r="H22" i="18"/>
  <c r="K22" i="18"/>
  <c r="D22" i="18"/>
  <c r="E22" i="18"/>
  <c r="F22" i="18"/>
  <c r="G22" i="18"/>
  <c r="J53" i="18"/>
  <c r="E53" i="18"/>
  <c r="D53" i="18"/>
  <c r="I53" i="18"/>
  <c r="H53" i="18"/>
  <c r="G53" i="18"/>
  <c r="F53" i="18"/>
  <c r="K53" i="18"/>
  <c r="C8" i="4"/>
  <c r="B31" i="4"/>
  <c r="C30" i="4" s="1"/>
  <c r="B30" i="4" s="1"/>
  <c r="C29" i="4" s="1"/>
  <c r="B29" i="4" s="1"/>
  <c r="C28" i="4" s="1"/>
  <c r="B28" i="4" s="1"/>
  <c r="C27" i="4" s="1"/>
  <c r="B27" i="4" s="1"/>
  <c r="C26" i="4" s="1"/>
  <c r="B26" i="4" s="1"/>
  <c r="C25" i="4" s="1"/>
  <c r="B25" i="4" s="1"/>
  <c r="C24" i="4" s="1"/>
  <c r="B24" i="4" s="1"/>
  <c r="C23" i="4" s="1"/>
  <c r="B23" i="4" s="1"/>
  <c r="D31" i="4"/>
  <c r="E30" i="4" s="1"/>
  <c r="D30" i="4" s="1"/>
  <c r="E29" i="4" s="1"/>
  <c r="D29" i="4" s="1"/>
  <c r="E28" i="4" s="1"/>
  <c r="D28" i="4" s="1"/>
  <c r="E27" i="4" s="1"/>
  <c r="D27" i="4" s="1"/>
  <c r="E26" i="4" s="1"/>
  <c r="D26" i="4" s="1"/>
  <c r="E25" i="4" s="1"/>
  <c r="D25" i="4" s="1"/>
  <c r="E24" i="4" s="1"/>
  <c r="D24" i="4" s="1"/>
  <c r="E23" i="4" s="1"/>
  <c r="D23" i="4" s="1"/>
  <c r="E22" i="4" s="1"/>
  <c r="J49" i="18"/>
  <c r="E49" i="18"/>
  <c r="D49" i="18"/>
  <c r="I49" i="18"/>
  <c r="H49" i="18"/>
  <c r="G49" i="18"/>
  <c r="F49" i="18"/>
  <c r="K49" i="18"/>
  <c r="C12" i="12"/>
  <c r="C12" i="11"/>
  <c r="J32" i="10"/>
  <c r="C12" i="10"/>
  <c r="K64" i="10" s="1"/>
  <c r="J23" i="12"/>
  <c r="J38" i="12"/>
  <c r="J44" i="12"/>
  <c r="J27" i="12"/>
  <c r="J29" i="12"/>
  <c r="J35" i="12"/>
  <c r="J39" i="12"/>
  <c r="J24" i="12"/>
  <c r="J30" i="12"/>
  <c r="J26" i="12"/>
  <c r="J31" i="12"/>
  <c r="J25" i="12"/>
  <c r="J28" i="12"/>
  <c r="J43" i="12"/>
  <c r="J42" i="12"/>
  <c r="J33" i="12"/>
  <c r="J22" i="12"/>
  <c r="J36" i="12"/>
  <c r="J34" i="12"/>
  <c r="J21" i="12"/>
  <c r="J40" i="12"/>
  <c r="J41" i="12"/>
  <c r="J32" i="12"/>
  <c r="J37" i="12"/>
  <c r="J28" i="11"/>
  <c r="J36" i="11"/>
  <c r="J44" i="11"/>
  <c r="J24" i="11"/>
  <c r="J29" i="11"/>
  <c r="J37" i="11"/>
  <c r="J39" i="11"/>
  <c r="J21" i="11"/>
  <c r="J30" i="11"/>
  <c r="J38" i="11"/>
  <c r="J31" i="11"/>
  <c r="J25" i="11"/>
  <c r="J40" i="11"/>
  <c r="J35" i="11"/>
  <c r="J43" i="11"/>
  <c r="J22" i="11"/>
  <c r="J32" i="11"/>
  <c r="J27" i="11"/>
  <c r="J23" i="11"/>
  <c r="J33" i="11"/>
  <c r="J41" i="11"/>
  <c r="J26" i="11"/>
  <c r="J42" i="11"/>
  <c r="J34" i="11"/>
  <c r="J23" i="10"/>
  <c r="J25" i="10"/>
  <c r="J24" i="10"/>
  <c r="J21" i="10"/>
  <c r="J28" i="10"/>
  <c r="J26" i="10"/>
  <c r="J22" i="10"/>
  <c r="J27" i="10"/>
  <c r="J29" i="10"/>
  <c r="J30" i="10"/>
  <c r="J31" i="10"/>
  <c r="J55" i="12"/>
  <c r="J63" i="12"/>
  <c r="J71" i="12"/>
  <c r="J68" i="12"/>
  <c r="J56" i="12"/>
  <c r="J64" i="12"/>
  <c r="J72" i="12"/>
  <c r="J69" i="12"/>
  <c r="J57" i="12"/>
  <c r="J65" i="12"/>
  <c r="J73" i="12"/>
  <c r="J61" i="12"/>
  <c r="J58" i="12"/>
  <c r="J66" i="12"/>
  <c r="J74" i="12"/>
  <c r="J60" i="12"/>
  <c r="J51" i="12"/>
  <c r="J59" i="12"/>
  <c r="J67" i="12"/>
  <c r="J52" i="12"/>
  <c r="J54" i="12"/>
  <c r="J62" i="12"/>
  <c r="J70" i="12"/>
  <c r="J53" i="12"/>
  <c r="J52" i="10"/>
  <c r="J51" i="10"/>
  <c r="J61" i="10"/>
  <c r="J53" i="10"/>
  <c r="J58" i="10"/>
  <c r="J62" i="10"/>
  <c r="J56" i="10"/>
  <c r="J55" i="10"/>
  <c r="J59" i="10"/>
  <c r="J54" i="10"/>
  <c r="J60" i="10"/>
  <c r="J57" i="10"/>
  <c r="J57" i="11"/>
  <c r="J187" i="11"/>
  <c r="J203" i="11"/>
  <c r="J219" i="11"/>
  <c r="J238" i="11"/>
  <c r="J240" i="11"/>
  <c r="J232" i="11"/>
  <c r="J190" i="11"/>
  <c r="J206" i="11"/>
  <c r="J222" i="11"/>
  <c r="J207" i="11"/>
  <c r="J226" i="11"/>
  <c r="J231" i="11"/>
  <c r="J216" i="11"/>
  <c r="J191" i="11"/>
  <c r="J242" i="11"/>
  <c r="J215" i="11"/>
  <c r="J200" i="11"/>
  <c r="J175" i="11"/>
  <c r="J192" i="11"/>
  <c r="J211" i="11"/>
  <c r="J227" i="11"/>
  <c r="J243" i="11"/>
  <c r="J176" i="11"/>
  <c r="J195" i="11"/>
  <c r="J214" i="11"/>
  <c r="J230" i="11"/>
  <c r="J246" i="11"/>
  <c r="J179" i="11"/>
  <c r="J247" i="11"/>
  <c r="J183" i="11"/>
  <c r="J202" i="11"/>
  <c r="J218" i="11"/>
  <c r="J234" i="11"/>
  <c r="J199" i="11"/>
  <c r="J182" i="11"/>
  <c r="J170" i="11"/>
  <c r="J194" i="11"/>
  <c r="J223" i="11"/>
  <c r="J229" i="11"/>
  <c r="J165" i="11"/>
  <c r="J196" i="11"/>
  <c r="J152" i="11"/>
  <c r="J193" i="11"/>
  <c r="J148" i="11"/>
  <c r="J108" i="11"/>
  <c r="J124" i="11"/>
  <c r="J63" i="11"/>
  <c r="J96" i="11"/>
  <c r="J107" i="11"/>
  <c r="J122" i="11"/>
  <c r="J129" i="11"/>
  <c r="J136" i="11"/>
  <c r="J86" i="11"/>
  <c r="J92" i="11"/>
  <c r="J98" i="11"/>
  <c r="J89" i="11"/>
  <c r="J220" i="11"/>
  <c r="J116" i="11"/>
  <c r="J146" i="11"/>
  <c r="J248" i="11"/>
  <c r="J209" i="11"/>
  <c r="J123" i="11"/>
  <c r="J105" i="11"/>
  <c r="J168" i="11"/>
  <c r="J178" i="11"/>
  <c r="J210" i="11"/>
  <c r="J221" i="11"/>
  <c r="J156" i="11"/>
  <c r="J188" i="11"/>
  <c r="J249" i="11"/>
  <c r="J185" i="11"/>
  <c r="J143" i="11"/>
  <c r="J134" i="11"/>
  <c r="J119" i="11"/>
  <c r="J100" i="11"/>
  <c r="J83" i="11"/>
  <c r="J94" i="11"/>
  <c r="J114" i="11"/>
  <c r="J121" i="11"/>
  <c r="J128" i="11"/>
  <c r="J72" i="11"/>
  <c r="J84" i="11"/>
  <c r="J90" i="11"/>
  <c r="J81" i="11"/>
  <c r="J157" i="11"/>
  <c r="J69" i="11"/>
  <c r="J153" i="11"/>
  <c r="J110" i="11"/>
  <c r="J75" i="11"/>
  <c r="J167" i="11"/>
  <c r="J160" i="11"/>
  <c r="J198" i="11"/>
  <c r="J213" i="11"/>
  <c r="J244" i="11"/>
  <c r="J180" i="11"/>
  <c r="J241" i="11"/>
  <c r="J177" i="11"/>
  <c r="J126" i="11"/>
  <c r="J101" i="11"/>
  <c r="J87" i="11"/>
  <c r="J149" i="11"/>
  <c r="J64" i="11"/>
  <c r="J79" i="11"/>
  <c r="J104" i="11"/>
  <c r="J113" i="11"/>
  <c r="J120" i="11"/>
  <c r="J55" i="11"/>
  <c r="J76" i="11"/>
  <c r="J82" i="11"/>
  <c r="J73" i="11"/>
  <c r="J174" i="11"/>
  <c r="J159" i="11"/>
  <c r="J125" i="11"/>
  <c r="J77" i="11"/>
  <c r="J58" i="11"/>
  <c r="J212" i="11"/>
  <c r="J150" i="11"/>
  <c r="J56" i="11"/>
  <c r="J166" i="11"/>
  <c r="J158" i="11"/>
  <c r="J184" i="11"/>
  <c r="J205" i="11"/>
  <c r="J236" i="11"/>
  <c r="J172" i="11"/>
  <c r="J233" i="11"/>
  <c r="J169" i="11"/>
  <c r="J118" i="11"/>
  <c r="J132" i="11"/>
  <c r="J85" i="11"/>
  <c r="J141" i="11"/>
  <c r="J147" i="11"/>
  <c r="J62" i="11"/>
  <c r="J93" i="11"/>
  <c r="J103" i="11"/>
  <c r="J112" i="11"/>
  <c r="J70" i="11"/>
  <c r="J68" i="11"/>
  <c r="J74" i="11"/>
  <c r="J65" i="11"/>
  <c r="J154" i="11"/>
  <c r="J59" i="11"/>
  <c r="J224" i="11"/>
  <c r="J117" i="11"/>
  <c r="J51" i="11"/>
  <c r="J163" i="11"/>
  <c r="J186" i="11"/>
  <c r="J171" i="11"/>
  <c r="J197" i="11"/>
  <c r="J228" i="11"/>
  <c r="J164" i="11"/>
  <c r="J225" i="11"/>
  <c r="J161" i="11"/>
  <c r="J142" i="11"/>
  <c r="J95" i="11"/>
  <c r="J80" i="11"/>
  <c r="J133" i="11"/>
  <c r="J139" i="11"/>
  <c r="J78" i="11"/>
  <c r="J91" i="11"/>
  <c r="J102" i="11"/>
  <c r="J54" i="11"/>
  <c r="J60" i="11"/>
  <c r="J66" i="11"/>
  <c r="J239" i="11"/>
  <c r="J71" i="11"/>
  <c r="J88" i="11"/>
  <c r="J245" i="11"/>
  <c r="J151" i="11"/>
  <c r="J138" i="11"/>
  <c r="J61" i="11"/>
  <c r="J208" i="11"/>
  <c r="J235" i="11"/>
  <c r="J237" i="11"/>
  <c r="J173" i="11"/>
  <c r="J204" i="11"/>
  <c r="J162" i="11"/>
  <c r="J201" i="11"/>
  <c r="J155" i="11"/>
  <c r="J135" i="11"/>
  <c r="J127" i="11"/>
  <c r="J67" i="11"/>
  <c r="J109" i="11"/>
  <c r="J115" i="11"/>
  <c r="J130" i="11"/>
  <c r="J137" i="11"/>
  <c r="J144" i="11"/>
  <c r="J99" i="11"/>
  <c r="J52" i="11"/>
  <c r="J106" i="11"/>
  <c r="J97" i="11"/>
  <c r="J189" i="11"/>
  <c r="J217" i="11"/>
  <c r="J111" i="11"/>
  <c r="J131" i="11"/>
  <c r="J53" i="11"/>
  <c r="J181" i="11"/>
  <c r="J140" i="11"/>
  <c r="J145" i="11"/>
  <c r="F64" i="10"/>
  <c r="E64" i="10"/>
  <c r="A65" i="10"/>
  <c r="J64" i="10"/>
  <c r="J33" i="10"/>
  <c r="A34" i="10"/>
  <c r="E33" i="10"/>
  <c r="F33" i="10"/>
  <c r="C22" i="4" l="1"/>
  <c r="B22" i="4" s="1"/>
  <c r="G22" i="15"/>
  <c r="G17" i="15"/>
  <c r="F17" i="15"/>
  <c r="D17" i="15"/>
  <c r="G16" i="4"/>
  <c r="H14" i="4"/>
  <c r="H13" i="4" s="1"/>
  <c r="F22" i="15"/>
  <c r="E17" i="15"/>
  <c r="E22" i="15"/>
  <c r="D22" i="15"/>
  <c r="G14" i="4"/>
  <c r="G13" i="4"/>
  <c r="H16" i="4"/>
  <c r="H22" i="15"/>
  <c r="D22" i="4"/>
  <c r="E21" i="4" s="1"/>
  <c r="K33" i="10"/>
  <c r="L33" i="10" s="1"/>
  <c r="K23" i="11"/>
  <c r="L23" i="11" s="1"/>
  <c r="K159" i="11"/>
  <c r="L159" i="11" s="1"/>
  <c r="K173" i="11"/>
  <c r="L173" i="11" s="1"/>
  <c r="K184" i="11"/>
  <c r="L184" i="11" s="1"/>
  <c r="K194" i="11"/>
  <c r="L194" i="11" s="1"/>
  <c r="K203" i="11"/>
  <c r="L203" i="11" s="1"/>
  <c r="K211" i="11"/>
  <c r="L211" i="11" s="1"/>
  <c r="K219" i="11"/>
  <c r="L219" i="11" s="1"/>
  <c r="K227" i="11"/>
  <c r="L227" i="11" s="1"/>
  <c r="K235" i="11"/>
  <c r="L235" i="11" s="1"/>
  <c r="K243" i="11"/>
  <c r="L243" i="11" s="1"/>
  <c r="K200" i="11"/>
  <c r="L200" i="11" s="1"/>
  <c r="K240" i="11"/>
  <c r="L240" i="11" s="1"/>
  <c r="K192" i="11"/>
  <c r="L192" i="11" s="1"/>
  <c r="K241" i="11"/>
  <c r="L241" i="11" s="1"/>
  <c r="K162" i="11"/>
  <c r="L162" i="11" s="1"/>
  <c r="K175" i="11"/>
  <c r="L175" i="11" s="1"/>
  <c r="K185" i="11"/>
  <c r="L185" i="11" s="1"/>
  <c r="K196" i="11"/>
  <c r="L196" i="11" s="1"/>
  <c r="K204" i="11"/>
  <c r="L204" i="11" s="1"/>
  <c r="K212" i="11"/>
  <c r="L212" i="11" s="1"/>
  <c r="K220" i="11"/>
  <c r="L220" i="11" s="1"/>
  <c r="K228" i="11"/>
  <c r="L228" i="11" s="1"/>
  <c r="K236" i="11"/>
  <c r="L236" i="11" s="1"/>
  <c r="K244" i="11"/>
  <c r="L244" i="11" s="1"/>
  <c r="K180" i="11"/>
  <c r="L180" i="11" s="1"/>
  <c r="K232" i="11"/>
  <c r="L232" i="11" s="1"/>
  <c r="K209" i="11"/>
  <c r="L209" i="11" s="1"/>
  <c r="K163" i="11"/>
  <c r="L163" i="11" s="1"/>
  <c r="K176" i="11"/>
  <c r="L176" i="11" s="1"/>
  <c r="K186" i="11"/>
  <c r="L186" i="11" s="1"/>
  <c r="K197" i="11"/>
  <c r="L197" i="11" s="1"/>
  <c r="K205" i="11"/>
  <c r="L205" i="11" s="1"/>
  <c r="K213" i="11"/>
  <c r="L213" i="11" s="1"/>
  <c r="K221" i="11"/>
  <c r="L221" i="11" s="1"/>
  <c r="K229" i="11"/>
  <c r="L229" i="11" s="1"/>
  <c r="K237" i="11"/>
  <c r="L237" i="11" s="1"/>
  <c r="K245" i="11"/>
  <c r="L245" i="11" s="1"/>
  <c r="K169" i="11"/>
  <c r="L169" i="11" s="1"/>
  <c r="K224" i="11"/>
  <c r="L224" i="11" s="1"/>
  <c r="K170" i="11"/>
  <c r="L170" i="11" s="1"/>
  <c r="K217" i="11"/>
  <c r="L217" i="11" s="1"/>
  <c r="K166" i="11"/>
  <c r="L166" i="11" s="1"/>
  <c r="K177" i="11"/>
  <c r="L177" i="11" s="1"/>
  <c r="K188" i="11"/>
  <c r="L188" i="11" s="1"/>
  <c r="K198" i="11"/>
  <c r="L198" i="11" s="1"/>
  <c r="K206" i="11"/>
  <c r="L206" i="11" s="1"/>
  <c r="K214" i="11"/>
  <c r="L214" i="11" s="1"/>
  <c r="K222" i="11"/>
  <c r="L222" i="11" s="1"/>
  <c r="K230" i="11"/>
  <c r="L230" i="11" s="1"/>
  <c r="K238" i="11"/>
  <c r="L238" i="11" s="1"/>
  <c r="K246" i="11"/>
  <c r="L246" i="11" s="1"/>
  <c r="K208" i="11"/>
  <c r="L208" i="11" s="1"/>
  <c r="K181" i="11"/>
  <c r="L181" i="11" s="1"/>
  <c r="K249" i="11"/>
  <c r="L249" i="11" s="1"/>
  <c r="K167" i="11"/>
  <c r="L167" i="11" s="1"/>
  <c r="K178" i="11"/>
  <c r="L178" i="11" s="1"/>
  <c r="K189" i="11"/>
  <c r="L189" i="11" s="1"/>
  <c r="K199" i="11"/>
  <c r="L199" i="11" s="1"/>
  <c r="K207" i="11"/>
  <c r="L207" i="11" s="1"/>
  <c r="K215" i="11"/>
  <c r="L215" i="11" s="1"/>
  <c r="K223" i="11"/>
  <c r="L223" i="11" s="1"/>
  <c r="K231" i="11"/>
  <c r="L231" i="11" s="1"/>
  <c r="K239" i="11"/>
  <c r="L239" i="11" s="1"/>
  <c r="K247" i="11"/>
  <c r="L247" i="11" s="1"/>
  <c r="K191" i="11"/>
  <c r="L191" i="11" s="1"/>
  <c r="K248" i="11"/>
  <c r="L248" i="11" s="1"/>
  <c r="K157" i="11"/>
  <c r="L157" i="11" s="1"/>
  <c r="K225" i="11"/>
  <c r="L225" i="11" s="1"/>
  <c r="K158" i="11"/>
  <c r="L158" i="11" s="1"/>
  <c r="K172" i="11"/>
  <c r="L172" i="11" s="1"/>
  <c r="K183" i="11"/>
  <c r="L183" i="11" s="1"/>
  <c r="K193" i="11"/>
  <c r="L193" i="11" s="1"/>
  <c r="K202" i="11"/>
  <c r="L202" i="11" s="1"/>
  <c r="K210" i="11"/>
  <c r="L210" i="11" s="1"/>
  <c r="K218" i="11"/>
  <c r="L218" i="11" s="1"/>
  <c r="K226" i="11"/>
  <c r="L226" i="11" s="1"/>
  <c r="K234" i="11"/>
  <c r="L234" i="11" s="1"/>
  <c r="K242" i="11"/>
  <c r="L242" i="11" s="1"/>
  <c r="K155" i="11"/>
  <c r="L155" i="11" s="1"/>
  <c r="K216" i="11"/>
  <c r="L216" i="11" s="1"/>
  <c r="K201" i="11"/>
  <c r="L201" i="11" s="1"/>
  <c r="K233" i="11"/>
  <c r="L233" i="11" s="1"/>
  <c r="K64" i="11"/>
  <c r="L64" i="11" s="1"/>
  <c r="K154" i="11"/>
  <c r="L154" i="11" s="1"/>
  <c r="K187" i="11"/>
  <c r="L187" i="11" s="1"/>
  <c r="K152" i="11"/>
  <c r="L152" i="11" s="1"/>
  <c r="K142" i="11"/>
  <c r="L142" i="11" s="1"/>
  <c r="K41" i="11"/>
  <c r="L41" i="11" s="1"/>
  <c r="K89" i="11"/>
  <c r="L89" i="11" s="1"/>
  <c r="K82" i="11"/>
  <c r="L82" i="11" s="1"/>
  <c r="K36" i="11"/>
  <c r="L36" i="11" s="1"/>
  <c r="K141" i="11"/>
  <c r="L141" i="11" s="1"/>
  <c r="K140" i="11"/>
  <c r="L140" i="11" s="1"/>
  <c r="K37" i="11"/>
  <c r="L37" i="11" s="1"/>
  <c r="K60" i="11"/>
  <c r="L60" i="11" s="1"/>
  <c r="K86" i="11"/>
  <c r="L86" i="11" s="1"/>
  <c r="K101" i="11"/>
  <c r="L101" i="11" s="1"/>
  <c r="K51" i="11"/>
  <c r="L51" i="11" s="1"/>
  <c r="K76" i="11"/>
  <c r="L76" i="11" s="1"/>
  <c r="K91" i="11"/>
  <c r="L91" i="11" s="1"/>
  <c r="K54" i="11"/>
  <c r="L54" i="11" s="1"/>
  <c r="K179" i="11"/>
  <c r="L179" i="11" s="1"/>
  <c r="K151" i="11"/>
  <c r="L151" i="11" s="1"/>
  <c r="K103" i="11"/>
  <c r="L103" i="11" s="1"/>
  <c r="K127" i="11"/>
  <c r="L127" i="11" s="1"/>
  <c r="K72" i="11"/>
  <c r="L72" i="11" s="1"/>
  <c r="K65" i="11"/>
  <c r="L65" i="11" s="1"/>
  <c r="K133" i="11"/>
  <c r="L133" i="11" s="1"/>
  <c r="K131" i="11"/>
  <c r="L131" i="11" s="1"/>
  <c r="K130" i="11"/>
  <c r="L130" i="11" s="1"/>
  <c r="K61" i="11"/>
  <c r="L61" i="11" s="1"/>
  <c r="K55" i="11"/>
  <c r="L55" i="11" s="1"/>
  <c r="K78" i="11"/>
  <c r="L78" i="11" s="1"/>
  <c r="K93" i="11"/>
  <c r="L93" i="11" s="1"/>
  <c r="K132" i="11"/>
  <c r="L132" i="11" s="1"/>
  <c r="K42" i="11"/>
  <c r="L42" i="11" s="1"/>
  <c r="K83" i="11"/>
  <c r="L83" i="11" s="1"/>
  <c r="K22" i="11"/>
  <c r="L22" i="11" s="1"/>
  <c r="K190" i="11"/>
  <c r="L190" i="11" s="1"/>
  <c r="K156" i="11"/>
  <c r="L156" i="11" s="1"/>
  <c r="K139" i="11"/>
  <c r="L139" i="11" s="1"/>
  <c r="K96" i="11"/>
  <c r="L96" i="11" s="1"/>
  <c r="K95" i="11"/>
  <c r="L95" i="11" s="1"/>
  <c r="K118" i="11"/>
  <c r="L118" i="11" s="1"/>
  <c r="K108" i="11"/>
  <c r="L108" i="11" s="1"/>
  <c r="K25" i="11"/>
  <c r="L25" i="11" s="1"/>
  <c r="K153" i="11"/>
  <c r="L153" i="11" s="1"/>
  <c r="K129" i="11"/>
  <c r="L129" i="11" s="1"/>
  <c r="K113" i="11"/>
  <c r="L113" i="11" s="1"/>
  <c r="K73" i="11"/>
  <c r="L73" i="11" s="1"/>
  <c r="K31" i="11"/>
  <c r="L31" i="11" s="1"/>
  <c r="K26" i="11"/>
  <c r="L26" i="11" s="1"/>
  <c r="K171" i="11"/>
  <c r="L171" i="11" s="1"/>
  <c r="K150" i="11"/>
  <c r="L150" i="11" s="1"/>
  <c r="K138" i="11"/>
  <c r="L138" i="11" s="1"/>
  <c r="K40" i="11"/>
  <c r="L40" i="11" s="1"/>
  <c r="K56" i="11"/>
  <c r="L56" i="11" s="1"/>
  <c r="K143" i="11"/>
  <c r="L143" i="11" s="1"/>
  <c r="K122" i="11"/>
  <c r="L122" i="11" s="1"/>
  <c r="K121" i="11"/>
  <c r="L121" i="11" s="1"/>
  <c r="K120" i="11"/>
  <c r="L120" i="11" s="1"/>
  <c r="K57" i="11"/>
  <c r="L57" i="11" s="1"/>
  <c r="K134" i="11"/>
  <c r="L134" i="11" s="1"/>
  <c r="K71" i="11"/>
  <c r="L71" i="11" s="1"/>
  <c r="K85" i="11"/>
  <c r="L85" i="11" s="1"/>
  <c r="K124" i="11"/>
  <c r="L124" i="11" s="1"/>
  <c r="K66" i="11"/>
  <c r="L66" i="11" s="1"/>
  <c r="K75" i="11"/>
  <c r="L75" i="11" s="1"/>
  <c r="K52" i="11"/>
  <c r="L52" i="11" s="1"/>
  <c r="K137" i="11"/>
  <c r="L137" i="11" s="1"/>
  <c r="K123" i="11"/>
  <c r="L123" i="11" s="1"/>
  <c r="K79" i="11"/>
  <c r="L79" i="11" s="1"/>
  <c r="K43" i="11"/>
  <c r="L43" i="11" s="1"/>
  <c r="K38" i="11"/>
  <c r="L38" i="11" s="1"/>
  <c r="K87" i="11"/>
  <c r="L87" i="11" s="1"/>
  <c r="K80" i="11"/>
  <c r="L80" i="11" s="1"/>
  <c r="K44" i="11"/>
  <c r="L44" i="11" s="1"/>
  <c r="K39" i="11"/>
  <c r="L39" i="11" s="1"/>
  <c r="K62" i="11"/>
  <c r="L62" i="11" s="1"/>
  <c r="K161" i="11"/>
  <c r="L161" i="11" s="1"/>
  <c r="K164" i="11"/>
  <c r="L164" i="11" s="1"/>
  <c r="K117" i="11"/>
  <c r="L117" i="11" s="1"/>
  <c r="K88" i="11"/>
  <c r="L88" i="11" s="1"/>
  <c r="K147" i="11"/>
  <c r="L147" i="11" s="1"/>
  <c r="K144" i="11"/>
  <c r="L144" i="11" s="1"/>
  <c r="K135" i="11"/>
  <c r="L135" i="11" s="1"/>
  <c r="K112" i="11"/>
  <c r="L112" i="11" s="1"/>
  <c r="K111" i="11"/>
  <c r="L111" i="11" s="1"/>
  <c r="K106" i="11"/>
  <c r="L106" i="11" s="1"/>
  <c r="K24" i="11"/>
  <c r="L24" i="11" s="1"/>
  <c r="K126" i="11"/>
  <c r="L126" i="11" s="1"/>
  <c r="K67" i="11"/>
  <c r="L67" i="11" s="1"/>
  <c r="K77" i="11"/>
  <c r="L77" i="11" s="1"/>
  <c r="K116" i="11"/>
  <c r="L116" i="11" s="1"/>
  <c r="K34" i="11"/>
  <c r="L34" i="11" s="1"/>
  <c r="K70" i="11"/>
  <c r="L70" i="11" s="1"/>
  <c r="K53" i="11"/>
  <c r="L53" i="11" s="1"/>
  <c r="K47" i="11"/>
  <c r="L47" i="11" s="1"/>
  <c r="M2" i="11" s="1"/>
  <c r="K136" i="11"/>
  <c r="L136" i="11" s="1"/>
  <c r="K90" i="11"/>
  <c r="L90" i="11" s="1"/>
  <c r="K35" i="11"/>
  <c r="L35" i="11" s="1"/>
  <c r="K30" i="11"/>
  <c r="L30" i="11" s="1"/>
  <c r="K182" i="11"/>
  <c r="L182" i="11" s="1"/>
  <c r="K145" i="11"/>
  <c r="L145" i="11" s="1"/>
  <c r="K125" i="11"/>
  <c r="L125" i="11" s="1"/>
  <c r="K74" i="11"/>
  <c r="L74" i="11" s="1"/>
  <c r="K110" i="11"/>
  <c r="L110" i="11" s="1"/>
  <c r="K100" i="11"/>
  <c r="L100" i="11" s="1"/>
  <c r="K28" i="11"/>
  <c r="L28" i="11" s="1"/>
  <c r="K174" i="11"/>
  <c r="L174" i="11" s="1"/>
  <c r="K168" i="11"/>
  <c r="L168" i="11" s="1"/>
  <c r="K104" i="11"/>
  <c r="L104" i="11" s="1"/>
  <c r="K146" i="11"/>
  <c r="L146" i="11" s="1"/>
  <c r="K119" i="11"/>
  <c r="L119" i="11" s="1"/>
  <c r="K114" i="11"/>
  <c r="L114" i="11" s="1"/>
  <c r="K97" i="11"/>
  <c r="L97" i="11" s="1"/>
  <c r="K33" i="11"/>
  <c r="L33" i="11" s="1"/>
  <c r="K32" i="11"/>
  <c r="L32" i="11" s="1"/>
  <c r="K29" i="11"/>
  <c r="L29" i="11" s="1"/>
  <c r="K68" i="11"/>
  <c r="L68" i="11" s="1"/>
  <c r="K102" i="11"/>
  <c r="L102" i="11" s="1"/>
  <c r="K27" i="11"/>
  <c r="L27" i="11" s="1"/>
  <c r="K63" i="11"/>
  <c r="L63" i="11" s="1"/>
  <c r="K92" i="11"/>
  <c r="L92" i="11" s="1"/>
  <c r="K107" i="11"/>
  <c r="L107" i="11" s="1"/>
  <c r="K58" i="11"/>
  <c r="L58" i="11" s="1"/>
  <c r="K165" i="11"/>
  <c r="L165" i="11" s="1"/>
  <c r="K195" i="11"/>
  <c r="L195" i="11" s="1"/>
  <c r="K160" i="11"/>
  <c r="L160" i="11" s="1"/>
  <c r="K115" i="11"/>
  <c r="L115" i="11" s="1"/>
  <c r="K128" i="11"/>
  <c r="L128" i="11" s="1"/>
  <c r="K105" i="11"/>
  <c r="L105" i="11" s="1"/>
  <c r="K98" i="11"/>
  <c r="L98" i="11" s="1"/>
  <c r="K81" i="11"/>
  <c r="L81" i="11" s="1"/>
  <c r="K149" i="11"/>
  <c r="L149" i="11" s="1"/>
  <c r="K148" i="11"/>
  <c r="L148" i="11" s="1"/>
  <c r="K69" i="11"/>
  <c r="L69" i="11" s="1"/>
  <c r="K94" i="11"/>
  <c r="L94" i="11" s="1"/>
  <c r="K109" i="11"/>
  <c r="L109" i="11" s="1"/>
  <c r="K59" i="11"/>
  <c r="L59" i="11" s="1"/>
  <c r="K84" i="11"/>
  <c r="L84" i="11" s="1"/>
  <c r="K99" i="11"/>
  <c r="L99" i="11" s="1"/>
  <c r="K21" i="11"/>
  <c r="L21" i="11" s="1"/>
  <c r="K60" i="10"/>
  <c r="L60" i="10" s="1"/>
  <c r="K51" i="10"/>
  <c r="L51" i="10" s="1"/>
  <c r="K28" i="10"/>
  <c r="L28" i="10" s="1"/>
  <c r="K27" i="10"/>
  <c r="L27" i="10" s="1"/>
  <c r="K58" i="10"/>
  <c r="L58" i="10" s="1"/>
  <c r="K22" i="10"/>
  <c r="L22" i="10" s="1"/>
  <c r="K24" i="10"/>
  <c r="L24" i="10" s="1"/>
  <c r="K57" i="10"/>
  <c r="L57" i="10" s="1"/>
  <c r="K53" i="10"/>
  <c r="L53" i="10" s="1"/>
  <c r="K31" i="10"/>
  <c r="L31" i="10" s="1"/>
  <c r="K54" i="10"/>
  <c r="L54" i="10" s="1"/>
  <c r="K47" i="10"/>
  <c r="L47" i="10" s="1"/>
  <c r="M2" i="10" s="1"/>
  <c r="K52" i="10"/>
  <c r="L52" i="10" s="1"/>
  <c r="K55" i="10"/>
  <c r="L55" i="10" s="1"/>
  <c r="K59" i="10"/>
  <c r="L59" i="10" s="1"/>
  <c r="K62" i="10"/>
  <c r="L62" i="10" s="1"/>
  <c r="K29" i="10"/>
  <c r="L29" i="10" s="1"/>
  <c r="K56" i="10"/>
  <c r="L56" i="10" s="1"/>
  <c r="K26" i="10"/>
  <c r="L26" i="10" s="1"/>
  <c r="K23" i="10"/>
  <c r="L23" i="10" s="1"/>
  <c r="K61" i="10"/>
  <c r="L61" i="10" s="1"/>
  <c r="K30" i="10"/>
  <c r="L30" i="10" s="1"/>
  <c r="K25" i="10"/>
  <c r="L25" i="10" s="1"/>
  <c r="K21" i="10"/>
  <c r="L21" i="10" s="1"/>
  <c r="K63" i="10"/>
  <c r="L63" i="10" s="1"/>
  <c r="K32" i="10"/>
  <c r="L32" i="10" s="1"/>
  <c r="K47" i="12"/>
  <c r="L47" i="12" s="1"/>
  <c r="M2" i="12" s="1"/>
  <c r="K23" i="12"/>
  <c r="L23" i="12" s="1"/>
  <c r="K59" i="12"/>
  <c r="L59" i="12" s="1"/>
  <c r="K63" i="12"/>
  <c r="L63" i="12" s="1"/>
  <c r="K67" i="12"/>
  <c r="L67" i="12" s="1"/>
  <c r="K42" i="12"/>
  <c r="L42" i="12" s="1"/>
  <c r="K36" i="12"/>
  <c r="L36" i="12" s="1"/>
  <c r="K25" i="12"/>
  <c r="L25" i="12" s="1"/>
  <c r="K24" i="12"/>
  <c r="L24" i="12" s="1"/>
  <c r="K30" i="12"/>
  <c r="L30" i="12" s="1"/>
  <c r="K34" i="12"/>
  <c r="L34" i="12" s="1"/>
  <c r="K38" i="12"/>
  <c r="L38" i="12" s="1"/>
  <c r="K71" i="12"/>
  <c r="L71" i="12" s="1"/>
  <c r="K72" i="12"/>
  <c r="L72" i="12" s="1"/>
  <c r="K32" i="12"/>
  <c r="L32" i="12" s="1"/>
  <c r="K55" i="12"/>
  <c r="L55" i="12" s="1"/>
  <c r="K65" i="12"/>
  <c r="L65" i="12" s="1"/>
  <c r="K73" i="12"/>
  <c r="L73" i="12" s="1"/>
  <c r="K52" i="12"/>
  <c r="L52" i="12" s="1"/>
  <c r="K27" i="12"/>
  <c r="L27" i="12" s="1"/>
  <c r="K60" i="12"/>
  <c r="L60" i="12" s="1"/>
  <c r="K35" i="12"/>
  <c r="L35" i="12" s="1"/>
  <c r="K68" i="12"/>
  <c r="L68" i="12" s="1"/>
  <c r="K28" i="12"/>
  <c r="L28" i="12" s="1"/>
  <c r="K40" i="12"/>
  <c r="L40" i="12" s="1"/>
  <c r="K57" i="12"/>
  <c r="L57" i="12" s="1"/>
  <c r="K22" i="12"/>
  <c r="L22" i="12" s="1"/>
  <c r="K56" i="12"/>
  <c r="L56" i="12" s="1"/>
  <c r="K31" i="12"/>
  <c r="L31" i="12" s="1"/>
  <c r="K64" i="12"/>
  <c r="L64" i="12" s="1"/>
  <c r="K39" i="12"/>
  <c r="L39" i="12" s="1"/>
  <c r="K43" i="12"/>
  <c r="L43" i="12" s="1"/>
  <c r="K54" i="12"/>
  <c r="L54" i="12" s="1"/>
  <c r="K44" i="12"/>
  <c r="L44" i="12" s="1"/>
  <c r="K61" i="12"/>
  <c r="L61" i="12" s="1"/>
  <c r="K69" i="12"/>
  <c r="L69" i="12" s="1"/>
  <c r="K21" i="12"/>
  <c r="L21" i="12" s="1"/>
  <c r="K53" i="12"/>
  <c r="L53" i="12" s="1"/>
  <c r="K58" i="12"/>
  <c r="L58" i="12" s="1"/>
  <c r="K62" i="12"/>
  <c r="L62" i="12" s="1"/>
  <c r="K66" i="12"/>
  <c r="L66" i="12" s="1"/>
  <c r="K70" i="12"/>
  <c r="L70" i="12" s="1"/>
  <c r="K74" i="12"/>
  <c r="L74" i="12" s="1"/>
  <c r="K26" i="12"/>
  <c r="L26" i="12" s="1"/>
  <c r="K51" i="12"/>
  <c r="L51" i="12" s="1"/>
  <c r="K29" i="12"/>
  <c r="L29" i="12" s="1"/>
  <c r="K33" i="12"/>
  <c r="L33" i="12" s="1"/>
  <c r="K37" i="12"/>
  <c r="L37" i="12" s="1"/>
  <c r="K41" i="12"/>
  <c r="L41" i="12" s="1"/>
  <c r="L64" i="10"/>
  <c r="F65" i="10"/>
  <c r="E65" i="10"/>
  <c r="A66" i="10"/>
  <c r="J65" i="10"/>
  <c r="K65" i="10"/>
  <c r="K34" i="10"/>
  <c r="J34" i="10"/>
  <c r="A35" i="10"/>
  <c r="F34" i="10"/>
  <c r="E34" i="10"/>
  <c r="G19" i="4" l="1"/>
  <c r="H23" i="4"/>
  <c r="G17" i="4"/>
  <c r="G18" i="4" s="1"/>
  <c r="L30" i="8" s="1"/>
  <c r="D21" i="4"/>
  <c r="E20" i="4" s="1"/>
  <c r="C21" i="4"/>
  <c r="K2" i="11"/>
  <c r="L2" i="12"/>
  <c r="K2" i="12"/>
  <c r="M3" i="10"/>
  <c r="M4" i="10"/>
  <c r="M4" i="11"/>
  <c r="M3" i="11"/>
  <c r="L2" i="11"/>
  <c r="M4" i="12"/>
  <c r="M3" i="12"/>
  <c r="L65" i="10"/>
  <c r="A67" i="10"/>
  <c r="F66" i="10"/>
  <c r="E66" i="10"/>
  <c r="J66" i="10"/>
  <c r="K66" i="10"/>
  <c r="L34" i="10"/>
  <c r="K35" i="10"/>
  <c r="J35" i="10"/>
  <c r="A36" i="10"/>
  <c r="E35" i="10"/>
  <c r="F35" i="10"/>
  <c r="G22" i="4" l="1"/>
  <c r="L32" i="8" s="1"/>
  <c r="G20" i="4"/>
  <c r="H20" i="4" s="1"/>
  <c r="H19" i="4"/>
  <c r="H22" i="4" s="1"/>
  <c r="H24" i="4" s="1"/>
  <c r="L31" i="8" s="1"/>
  <c r="M47" i="11"/>
  <c r="O47" i="11" s="1"/>
  <c r="D20" i="4"/>
  <c r="E19" i="4" s="1"/>
  <c r="B21" i="4"/>
  <c r="C20" i="4" s="1"/>
  <c r="M47" i="12"/>
  <c r="O47" i="12" s="1"/>
  <c r="R6" i="12" s="1"/>
  <c r="M47" i="10"/>
  <c r="O47" i="10" s="1"/>
  <c r="K3" i="12"/>
  <c r="K4" i="12"/>
  <c r="L3" i="12"/>
  <c r="L4" i="12"/>
  <c r="K3" i="11"/>
  <c r="K4" i="11"/>
  <c r="L66" i="10"/>
  <c r="A68" i="10"/>
  <c r="F67" i="10"/>
  <c r="E67" i="10"/>
  <c r="J67" i="10"/>
  <c r="K67" i="10"/>
  <c r="L35" i="10"/>
  <c r="K36" i="10"/>
  <c r="J36" i="10"/>
  <c r="A37" i="10"/>
  <c r="E36" i="10"/>
  <c r="F36" i="10"/>
  <c r="H26" i="4" l="1"/>
  <c r="H27" i="4"/>
  <c r="R6" i="11"/>
  <c r="R6" i="10"/>
  <c r="B20" i="4"/>
  <c r="C19" i="4" s="1"/>
  <c r="D19" i="4"/>
  <c r="E18" i="4" s="1"/>
  <c r="M24" i="11"/>
  <c r="O24" i="11" s="1"/>
  <c r="M25" i="11"/>
  <c r="O25" i="11" s="1"/>
  <c r="M35" i="11"/>
  <c r="O35" i="11" s="1"/>
  <c r="M26" i="11"/>
  <c r="O26" i="11" s="1"/>
  <c r="M32" i="11"/>
  <c r="O32" i="11" s="1"/>
  <c r="M33" i="11"/>
  <c r="O33" i="11" s="1"/>
  <c r="M21" i="11"/>
  <c r="O21" i="11" s="1"/>
  <c r="M23" i="11"/>
  <c r="O23" i="11" s="1"/>
  <c r="M34" i="11"/>
  <c r="O34" i="11" s="1"/>
  <c r="M30" i="11"/>
  <c r="O30" i="11" s="1"/>
  <c r="M40" i="11"/>
  <c r="O40" i="11" s="1"/>
  <c r="M41" i="11"/>
  <c r="O41" i="11" s="1"/>
  <c r="M22" i="11"/>
  <c r="O22" i="11" s="1"/>
  <c r="M43" i="11"/>
  <c r="O43" i="11" s="1"/>
  <c r="M29" i="11"/>
  <c r="O29" i="11" s="1"/>
  <c r="M31" i="11"/>
  <c r="O31" i="11" s="1"/>
  <c r="M42" i="11"/>
  <c r="O42" i="11" s="1"/>
  <c r="M44" i="11"/>
  <c r="O44" i="11" s="1"/>
  <c r="M39" i="11"/>
  <c r="O39" i="11" s="1"/>
  <c r="M27" i="11"/>
  <c r="O27" i="11" s="1"/>
  <c r="M37" i="11"/>
  <c r="O37" i="11" s="1"/>
  <c r="M36" i="11"/>
  <c r="O36" i="11" s="1"/>
  <c r="M28" i="11"/>
  <c r="O28" i="11" s="1"/>
  <c r="M38" i="11"/>
  <c r="O38" i="11" s="1"/>
  <c r="M67" i="12"/>
  <c r="O67" i="12" s="1"/>
  <c r="M62" i="12"/>
  <c r="O62" i="12" s="1"/>
  <c r="M64" i="12"/>
  <c r="O64" i="12" s="1"/>
  <c r="M70" i="12"/>
  <c r="O70" i="12" s="1"/>
  <c r="M53" i="12"/>
  <c r="O53" i="12" s="1"/>
  <c r="M72" i="12"/>
  <c r="O72" i="12" s="1"/>
  <c r="M60" i="12"/>
  <c r="O60" i="12" s="1"/>
  <c r="M65" i="12"/>
  <c r="O65" i="12" s="1"/>
  <c r="M57" i="12"/>
  <c r="O57" i="12" s="1"/>
  <c r="M55" i="12"/>
  <c r="O55" i="12" s="1"/>
  <c r="M63" i="12"/>
  <c r="O63" i="12" s="1"/>
  <c r="M68" i="12"/>
  <c r="O68" i="12" s="1"/>
  <c r="M58" i="12"/>
  <c r="O58" i="12" s="1"/>
  <c r="M51" i="12"/>
  <c r="O51" i="12" s="1"/>
  <c r="M52" i="12"/>
  <c r="O52" i="12" s="1"/>
  <c r="M66" i="12"/>
  <c r="O66" i="12" s="1"/>
  <c r="M73" i="12"/>
  <c r="O73" i="12" s="1"/>
  <c r="M61" i="12"/>
  <c r="O61" i="12" s="1"/>
  <c r="M71" i="12"/>
  <c r="O71" i="12" s="1"/>
  <c r="M74" i="12"/>
  <c r="O74" i="12" s="1"/>
  <c r="M69" i="12"/>
  <c r="O69" i="12" s="1"/>
  <c r="M59" i="12"/>
  <c r="O59" i="12" s="1"/>
  <c r="M54" i="12"/>
  <c r="O54" i="12" s="1"/>
  <c r="M56" i="12"/>
  <c r="O56" i="12" s="1"/>
  <c r="M40" i="12"/>
  <c r="O40" i="12" s="1"/>
  <c r="M21" i="12"/>
  <c r="O21" i="12" s="1"/>
  <c r="M36" i="12"/>
  <c r="O36" i="12" s="1"/>
  <c r="M33" i="12"/>
  <c r="O33" i="12" s="1"/>
  <c r="M37" i="12"/>
  <c r="O37" i="12" s="1"/>
  <c r="M42" i="12"/>
  <c r="O42" i="12" s="1"/>
  <c r="M29" i="12"/>
  <c r="O29" i="12" s="1"/>
  <c r="M41" i="12"/>
  <c r="O41" i="12" s="1"/>
  <c r="M30" i="12"/>
  <c r="O30" i="12" s="1"/>
  <c r="M22" i="12"/>
  <c r="O22" i="12" s="1"/>
  <c r="M25" i="12"/>
  <c r="O25" i="12" s="1"/>
  <c r="M31" i="12"/>
  <c r="O31" i="12" s="1"/>
  <c r="M34" i="12"/>
  <c r="O34" i="12" s="1"/>
  <c r="M24" i="12"/>
  <c r="O24" i="12" s="1"/>
  <c r="M38" i="12"/>
  <c r="O38" i="12" s="1"/>
  <c r="M39" i="12"/>
  <c r="O39" i="12" s="1"/>
  <c r="M23" i="12"/>
  <c r="O23" i="12" s="1"/>
  <c r="M27" i="12"/>
  <c r="O27" i="12" s="1"/>
  <c r="M26" i="12"/>
  <c r="O26" i="12" s="1"/>
  <c r="M44" i="12"/>
  <c r="O44" i="12" s="1"/>
  <c r="M32" i="12"/>
  <c r="O32" i="12" s="1"/>
  <c r="M28" i="12"/>
  <c r="O28" i="12" s="1"/>
  <c r="M43" i="12"/>
  <c r="O43" i="12" s="1"/>
  <c r="M35" i="12"/>
  <c r="O35" i="12" s="1"/>
  <c r="L67" i="10"/>
  <c r="A69" i="10"/>
  <c r="F68" i="10"/>
  <c r="E68" i="10"/>
  <c r="J68" i="10"/>
  <c r="K68" i="10"/>
  <c r="L36" i="10"/>
  <c r="K37" i="10"/>
  <c r="J37" i="10"/>
  <c r="A38" i="10"/>
  <c r="E37" i="10"/>
  <c r="F37" i="10"/>
  <c r="H25" i="4" l="1"/>
  <c r="E16" i="11" s="1"/>
  <c r="D18" i="4"/>
  <c r="E17" i="4" s="1"/>
  <c r="B19" i="4"/>
  <c r="C18" i="4" s="1"/>
  <c r="P6" i="11"/>
  <c r="Q7" i="11" s="1"/>
  <c r="Q6" i="12"/>
  <c r="P7" i="12" s="1"/>
  <c r="P6" i="12"/>
  <c r="L68" i="10"/>
  <c r="A70" i="10"/>
  <c r="F69" i="10"/>
  <c r="E69" i="10"/>
  <c r="J69" i="10"/>
  <c r="K69" i="10"/>
  <c r="L37" i="10"/>
  <c r="K38" i="10"/>
  <c r="J38" i="10"/>
  <c r="A39" i="10"/>
  <c r="E38" i="10"/>
  <c r="F38" i="10"/>
  <c r="P44" i="12" l="1"/>
  <c r="Q44" i="12" s="1"/>
  <c r="P28" i="12"/>
  <c r="Q28" i="12" s="1"/>
  <c r="P27" i="12"/>
  <c r="Q27" i="12" s="1"/>
  <c r="P26" i="12"/>
  <c r="Q26" i="12" s="1"/>
  <c r="P35" i="12"/>
  <c r="Q35" i="12" s="1"/>
  <c r="P34" i="12"/>
  <c r="Q34" i="12" s="1"/>
  <c r="P41" i="12"/>
  <c r="Q41" i="12" s="1"/>
  <c r="P33" i="12"/>
  <c r="Q33" i="12" s="1"/>
  <c r="P25" i="12"/>
  <c r="Q25" i="12" s="1"/>
  <c r="P40" i="12"/>
  <c r="Q40" i="12" s="1"/>
  <c r="P24" i="12"/>
  <c r="Q24" i="12" s="1"/>
  <c r="P39" i="12"/>
  <c r="Q39" i="12" s="1"/>
  <c r="P22" i="12"/>
  <c r="Q22" i="12" s="1"/>
  <c r="P32" i="12"/>
  <c r="Q32" i="12" s="1"/>
  <c r="P31" i="12"/>
  <c r="Q31" i="12" s="1"/>
  <c r="P38" i="12"/>
  <c r="Q38" i="12" s="1"/>
  <c r="P23" i="12"/>
  <c r="Q23" i="12" s="1"/>
  <c r="P30" i="12"/>
  <c r="Q30" i="12" s="1"/>
  <c r="P37" i="12"/>
  <c r="Q37" i="12" s="1"/>
  <c r="P29" i="12"/>
  <c r="Q29" i="12" s="1"/>
  <c r="P21" i="12"/>
  <c r="Q21" i="12" s="1"/>
  <c r="P36" i="12"/>
  <c r="Q36" i="12" s="1"/>
  <c r="P43" i="12"/>
  <c r="Q43" i="12" s="1"/>
  <c r="P42" i="12"/>
  <c r="Q42" i="12" s="1"/>
  <c r="B18" i="4"/>
  <c r="C17" i="4" s="1"/>
  <c r="D17" i="4"/>
  <c r="E16" i="4" s="1"/>
  <c r="R7" i="12"/>
  <c r="Q7" i="12"/>
  <c r="L69" i="10"/>
  <c r="A71" i="10"/>
  <c r="F70" i="10"/>
  <c r="E70" i="10"/>
  <c r="J70" i="10"/>
  <c r="K70" i="10"/>
  <c r="L38" i="10"/>
  <c r="K39" i="10"/>
  <c r="J39" i="10"/>
  <c r="A40" i="10"/>
  <c r="F39" i="10"/>
  <c r="E39" i="10"/>
  <c r="P74" i="12" l="1"/>
  <c r="Q74" i="12" s="1"/>
  <c r="P62" i="12"/>
  <c r="Q62" i="12" s="1"/>
  <c r="P52" i="12"/>
  <c r="Q52" i="12" s="1"/>
  <c r="P69" i="12"/>
  <c r="Q69" i="12" s="1"/>
  <c r="P68" i="12"/>
  <c r="Q68" i="12" s="1"/>
  <c r="P73" i="12"/>
  <c r="Q73" i="12" s="1"/>
  <c r="P60" i="12"/>
  <c r="Q60" i="12" s="1"/>
  <c r="P65" i="12"/>
  <c r="Q65" i="12" s="1"/>
  <c r="P70" i="12"/>
  <c r="Q70" i="12" s="1"/>
  <c r="P57" i="12"/>
  <c r="Q57" i="12" s="1"/>
  <c r="P59" i="12"/>
  <c r="Q59" i="12" s="1"/>
  <c r="P71" i="12"/>
  <c r="Q71" i="12" s="1"/>
  <c r="P67" i="12"/>
  <c r="Q67" i="12" s="1"/>
  <c r="P51" i="12"/>
  <c r="Q51" i="12" s="1"/>
  <c r="P63" i="12"/>
  <c r="Q63" i="12" s="1"/>
  <c r="P56" i="12"/>
  <c r="Q56" i="12" s="1"/>
  <c r="P72" i="12"/>
  <c r="Q72" i="12" s="1"/>
  <c r="P64" i="12"/>
  <c r="Q64" i="12" s="1"/>
  <c r="P66" i="12"/>
  <c r="Q66" i="12" s="1"/>
  <c r="P58" i="12"/>
  <c r="Q58" i="12" s="1"/>
  <c r="P61" i="12"/>
  <c r="Q61" i="12" s="1"/>
  <c r="P53" i="12"/>
  <c r="Q53" i="12" s="1"/>
  <c r="P55" i="12"/>
  <c r="Q55" i="12" s="1"/>
  <c r="P54" i="12"/>
  <c r="Q54" i="12" s="1"/>
  <c r="P47" i="12"/>
  <c r="Q47" i="12" s="1"/>
  <c r="R2" i="12" s="1"/>
  <c r="D16" i="4"/>
  <c r="E15" i="4" s="1"/>
  <c r="B17" i="4"/>
  <c r="C16" i="4" s="1"/>
  <c r="P2" i="12"/>
  <c r="L70" i="10"/>
  <c r="A72" i="10"/>
  <c r="F71" i="10"/>
  <c r="E71" i="10"/>
  <c r="J71" i="10"/>
  <c r="K71" i="10"/>
  <c r="L39" i="10"/>
  <c r="K40" i="10"/>
  <c r="J40" i="10"/>
  <c r="A41" i="10"/>
  <c r="F40" i="10"/>
  <c r="E40" i="10"/>
  <c r="R4" i="12" l="1"/>
  <c r="R3" i="12"/>
  <c r="B16" i="4"/>
  <c r="C15" i="4" s="1"/>
  <c r="D15" i="4"/>
  <c r="E14" i="4" s="1"/>
  <c r="Q2" i="12"/>
  <c r="P3" i="12"/>
  <c r="P4" i="12"/>
  <c r="L71" i="10"/>
  <c r="A73" i="10"/>
  <c r="F72" i="10"/>
  <c r="E72" i="10"/>
  <c r="J72" i="10"/>
  <c r="K72" i="10"/>
  <c r="L40" i="10"/>
  <c r="K41" i="10"/>
  <c r="J41" i="10"/>
  <c r="A42" i="10"/>
  <c r="E41" i="10"/>
  <c r="F41" i="10"/>
  <c r="R47" i="12" l="1"/>
  <c r="T47" i="12" s="1"/>
  <c r="W6" i="12" s="1"/>
  <c r="D14" i="4"/>
  <c r="E13" i="4" s="1"/>
  <c r="B15" i="4"/>
  <c r="C14" i="4" s="1"/>
  <c r="R24" i="12"/>
  <c r="T24" i="12" s="1"/>
  <c r="R42" i="12"/>
  <c r="T42" i="12" s="1"/>
  <c r="R30" i="12"/>
  <c r="T30" i="12" s="1"/>
  <c r="R23" i="12"/>
  <c r="T23" i="12" s="1"/>
  <c r="R36" i="12"/>
  <c r="T36" i="12" s="1"/>
  <c r="R26" i="12"/>
  <c r="T26" i="12" s="1"/>
  <c r="R32" i="12"/>
  <c r="T32" i="12" s="1"/>
  <c r="R27" i="12"/>
  <c r="T27" i="12" s="1"/>
  <c r="R38" i="12"/>
  <c r="T38" i="12" s="1"/>
  <c r="R40" i="12"/>
  <c r="T40" i="12" s="1"/>
  <c r="R35" i="12"/>
  <c r="T35" i="12" s="1"/>
  <c r="R21" i="12"/>
  <c r="T21" i="12" s="1"/>
  <c r="R25" i="12"/>
  <c r="T25" i="12" s="1"/>
  <c r="R43" i="12"/>
  <c r="T43" i="12" s="1"/>
  <c r="R29" i="12"/>
  <c r="T29" i="12" s="1"/>
  <c r="R41" i="12"/>
  <c r="T41" i="12" s="1"/>
  <c r="R31" i="12"/>
  <c r="T31" i="12" s="1"/>
  <c r="R33" i="12"/>
  <c r="T33" i="12" s="1"/>
  <c r="R28" i="12"/>
  <c r="T28" i="12" s="1"/>
  <c r="R37" i="12"/>
  <c r="T37" i="12" s="1"/>
  <c r="R39" i="12"/>
  <c r="T39" i="12" s="1"/>
  <c r="R34" i="12"/>
  <c r="T34" i="12" s="1"/>
  <c r="R22" i="12"/>
  <c r="T22" i="12" s="1"/>
  <c r="R44" i="12"/>
  <c r="T44" i="12" s="1"/>
  <c r="Q3" i="12"/>
  <c r="Q4" i="12"/>
  <c r="L72" i="10"/>
  <c r="A74" i="10"/>
  <c r="F73" i="10"/>
  <c r="E73" i="10"/>
  <c r="J73" i="10"/>
  <c r="K73" i="10"/>
  <c r="L41" i="10"/>
  <c r="K42" i="10"/>
  <c r="J42" i="10"/>
  <c r="A43" i="10"/>
  <c r="F42" i="10"/>
  <c r="E42" i="10"/>
  <c r="B14" i="4" l="1"/>
  <c r="C13" i="4" s="1"/>
  <c r="D13" i="4"/>
  <c r="R58" i="12"/>
  <c r="T58" i="12" s="1"/>
  <c r="U6" i="12"/>
  <c r="R71" i="12"/>
  <c r="T71" i="12" s="1"/>
  <c r="R56" i="12"/>
  <c r="T56" i="12" s="1"/>
  <c r="R53" i="12"/>
  <c r="T53" i="12" s="1"/>
  <c r="R64" i="12"/>
  <c r="T64" i="12" s="1"/>
  <c r="R74" i="12"/>
  <c r="T74" i="12" s="1"/>
  <c r="R57" i="12"/>
  <c r="T57" i="12" s="1"/>
  <c r="R65" i="12"/>
  <c r="T65" i="12" s="1"/>
  <c r="R60" i="12"/>
  <c r="T60" i="12" s="1"/>
  <c r="R73" i="12"/>
  <c r="T73" i="12" s="1"/>
  <c r="R70" i="12"/>
  <c r="T70" i="12" s="1"/>
  <c r="R54" i="12"/>
  <c r="T54" i="12" s="1"/>
  <c r="R67" i="12"/>
  <c r="T67" i="12" s="1"/>
  <c r="R68" i="12"/>
  <c r="T68" i="12" s="1"/>
  <c r="R69" i="12"/>
  <c r="T69" i="12" s="1"/>
  <c r="R63" i="12"/>
  <c r="T63" i="12" s="1"/>
  <c r="R66" i="12"/>
  <c r="T66" i="12" s="1"/>
  <c r="R52" i="12"/>
  <c r="T52" i="12" s="1"/>
  <c r="R59" i="12"/>
  <c r="T59" i="12" s="1"/>
  <c r="R61" i="12"/>
  <c r="T61" i="12" s="1"/>
  <c r="R62" i="12"/>
  <c r="T62" i="12" s="1"/>
  <c r="R72" i="12"/>
  <c r="T72" i="12" s="1"/>
  <c r="R55" i="12"/>
  <c r="T55" i="12" s="1"/>
  <c r="R51" i="12"/>
  <c r="T51" i="12" s="1"/>
  <c r="L73" i="10"/>
  <c r="F74" i="10"/>
  <c r="A75" i="10"/>
  <c r="E74" i="10"/>
  <c r="J74" i="10"/>
  <c r="K74" i="10"/>
  <c r="L42" i="10"/>
  <c r="K43" i="10"/>
  <c r="J43" i="10"/>
  <c r="E43" i="10"/>
  <c r="A44" i="10"/>
  <c r="F43" i="10"/>
  <c r="E12" i="4" l="1"/>
  <c r="D12" i="4" s="1"/>
  <c r="E33" i="4"/>
  <c r="E34" i="4" s="1"/>
  <c r="E35" i="4" s="1"/>
  <c r="B13" i="4"/>
  <c r="C33" i="4" s="1"/>
  <c r="C34" i="4" s="1"/>
  <c r="C35" i="4" s="1"/>
  <c r="V6" i="12"/>
  <c r="U7" i="12" s="1"/>
  <c r="V7" i="12"/>
  <c r="U71" i="12" s="1"/>
  <c r="L74" i="10"/>
  <c r="A76" i="10"/>
  <c r="E75" i="10"/>
  <c r="F75" i="10"/>
  <c r="J75" i="10"/>
  <c r="K75" i="10"/>
  <c r="L43" i="10"/>
  <c r="K44" i="10"/>
  <c r="J44" i="10"/>
  <c r="E44" i="10"/>
  <c r="E20" i="10" s="1"/>
  <c r="F44" i="10"/>
  <c r="F20" i="10" s="1"/>
  <c r="E39" i="4" l="1"/>
  <c r="U74" i="12"/>
  <c r="V74" i="12" s="1"/>
  <c r="U68" i="12"/>
  <c r="V68" i="12" s="1"/>
  <c r="U53" i="12"/>
  <c r="V53" i="12" s="1"/>
  <c r="U55" i="12"/>
  <c r="V55" i="12" s="1"/>
  <c r="U70" i="12"/>
  <c r="V70" i="12" s="1"/>
  <c r="U65" i="12"/>
  <c r="V65" i="12" s="1"/>
  <c r="U60" i="12"/>
  <c r="V60" i="12" s="1"/>
  <c r="U54" i="12"/>
  <c r="V54" i="12" s="1"/>
  <c r="U59" i="12"/>
  <c r="V59" i="12" s="1"/>
  <c r="U62" i="12"/>
  <c r="V62" i="12" s="1"/>
  <c r="U51" i="12"/>
  <c r="V51" i="12" s="1"/>
  <c r="U66" i="12"/>
  <c r="V66" i="12" s="1"/>
  <c r="U72" i="12"/>
  <c r="V72" i="12" s="1"/>
  <c r="U61" i="12"/>
  <c r="V61" i="12" s="1"/>
  <c r="U52" i="12"/>
  <c r="V52" i="12" s="1"/>
  <c r="U58" i="12"/>
  <c r="V58" i="12" s="1"/>
  <c r="U73" i="12"/>
  <c r="V73" i="12" s="1"/>
  <c r="U57" i="12"/>
  <c r="V57" i="12" s="1"/>
  <c r="U63" i="12"/>
  <c r="V63" i="12" s="1"/>
  <c r="U64" i="12"/>
  <c r="V64" i="12" s="1"/>
  <c r="U69" i="12"/>
  <c r="V69" i="12" s="1"/>
  <c r="U56" i="12"/>
  <c r="V56" i="12" s="1"/>
  <c r="U67" i="12"/>
  <c r="V67" i="12" s="1"/>
  <c r="U26" i="12"/>
  <c r="V26" i="12" s="1"/>
  <c r="U40" i="12"/>
  <c r="V40" i="12" s="1"/>
  <c r="U44" i="12"/>
  <c r="V44" i="12" s="1"/>
  <c r="U34" i="12"/>
  <c r="V34" i="12" s="1"/>
  <c r="U36" i="12"/>
  <c r="V36" i="12" s="1"/>
  <c r="U42" i="12"/>
  <c r="V42" i="12" s="1"/>
  <c r="U41" i="12"/>
  <c r="V41" i="12" s="1"/>
  <c r="U21" i="12"/>
  <c r="V21" i="12" s="1"/>
  <c r="U33" i="12"/>
  <c r="V33" i="12" s="1"/>
  <c r="U23" i="12"/>
  <c r="V23" i="12" s="1"/>
  <c r="U39" i="12"/>
  <c r="V39" i="12" s="1"/>
  <c r="U27" i="12"/>
  <c r="V27" i="12" s="1"/>
  <c r="U22" i="12"/>
  <c r="V22" i="12" s="1"/>
  <c r="U29" i="12"/>
  <c r="V29" i="12" s="1"/>
  <c r="U37" i="12"/>
  <c r="V37" i="12" s="1"/>
  <c r="U25" i="12"/>
  <c r="V25" i="12" s="1"/>
  <c r="U31" i="12"/>
  <c r="V31" i="12" s="1"/>
  <c r="U43" i="12"/>
  <c r="V43" i="12" s="1"/>
  <c r="U35" i="12"/>
  <c r="V35" i="12" s="1"/>
  <c r="U38" i="12"/>
  <c r="V38" i="12" s="1"/>
  <c r="U28" i="12"/>
  <c r="V28" i="12" s="1"/>
  <c r="U32" i="12"/>
  <c r="V32" i="12" s="1"/>
  <c r="U30" i="12"/>
  <c r="V30" i="12" s="1"/>
  <c r="U24" i="12"/>
  <c r="V24" i="12" s="1"/>
  <c r="C12" i="4"/>
  <c r="B12" i="4" s="1"/>
  <c r="C39" i="4"/>
  <c r="W7" i="12"/>
  <c r="U47" i="12" s="1"/>
  <c r="V47" i="12" s="1"/>
  <c r="W2" i="12" s="1"/>
  <c r="V71" i="12"/>
  <c r="L75" i="10"/>
  <c r="A77" i="10"/>
  <c r="F76" i="10"/>
  <c r="E76" i="10"/>
  <c r="J76" i="10"/>
  <c r="K76" i="10"/>
  <c r="L44" i="10"/>
  <c r="K2" i="10" s="1"/>
  <c r="K3" i="10" s="1"/>
  <c r="G41" i="10"/>
  <c r="G42" i="10"/>
  <c r="G43" i="10"/>
  <c r="G44" i="10"/>
  <c r="G21" i="10"/>
  <c r="G22" i="10"/>
  <c r="G23" i="10"/>
  <c r="G24" i="10"/>
  <c r="G25" i="10"/>
  <c r="G26" i="10"/>
  <c r="G27" i="10"/>
  <c r="G28" i="10"/>
  <c r="G29" i="10"/>
  <c r="G30" i="10"/>
  <c r="G31" i="10"/>
  <c r="G32" i="10"/>
  <c r="G33" i="10"/>
  <c r="G34" i="10"/>
  <c r="G35" i="10"/>
  <c r="G36" i="10"/>
  <c r="G37" i="10"/>
  <c r="G38" i="10"/>
  <c r="G39" i="10"/>
  <c r="G40" i="10"/>
  <c r="E38" i="4" l="1"/>
  <c r="E37" i="4"/>
  <c r="C37" i="4"/>
  <c r="C38" i="4"/>
  <c r="U2" i="12"/>
  <c r="V2" i="12"/>
  <c r="W3" i="12"/>
  <c r="W4" i="12"/>
  <c r="L76" i="10"/>
  <c r="A78" i="10"/>
  <c r="F77" i="10"/>
  <c r="E77" i="10"/>
  <c r="J77" i="10"/>
  <c r="K77" i="10"/>
  <c r="K4" i="10"/>
  <c r="E36" i="4" l="1"/>
  <c r="L4" i="11" s="1"/>
  <c r="C36" i="4"/>
  <c r="W47" i="12"/>
  <c r="Y47" i="12" s="1"/>
  <c r="AB6" i="12" s="1"/>
  <c r="V3" i="12"/>
  <c r="V4" i="12"/>
  <c r="U3" i="12"/>
  <c r="U4" i="12"/>
  <c r="L77" i="10"/>
  <c r="A79" i="10"/>
  <c r="F78" i="10"/>
  <c r="E78" i="10"/>
  <c r="J78" i="10"/>
  <c r="K78" i="10"/>
  <c r="M22" i="10"/>
  <c r="O22" i="10" s="1"/>
  <c r="M30" i="10"/>
  <c r="O30" i="10" s="1"/>
  <c r="M38" i="10"/>
  <c r="O38" i="10" s="1"/>
  <c r="M23" i="10"/>
  <c r="O23" i="10" s="1"/>
  <c r="M31" i="10"/>
  <c r="O31" i="10" s="1"/>
  <c r="M39" i="10"/>
  <c r="O39" i="10" s="1"/>
  <c r="M42" i="10"/>
  <c r="O42" i="10" s="1"/>
  <c r="M24" i="10"/>
  <c r="O24" i="10" s="1"/>
  <c r="M32" i="10"/>
  <c r="O32" i="10" s="1"/>
  <c r="M40" i="10"/>
  <c r="O40" i="10" s="1"/>
  <c r="M25" i="10"/>
  <c r="O25" i="10" s="1"/>
  <c r="M41" i="10"/>
  <c r="O41" i="10" s="1"/>
  <c r="M26" i="10"/>
  <c r="O26" i="10" s="1"/>
  <c r="M37" i="10"/>
  <c r="O37" i="10" s="1"/>
  <c r="M33" i="10"/>
  <c r="O33" i="10" s="1"/>
  <c r="M34" i="10"/>
  <c r="O34" i="10" s="1"/>
  <c r="M27" i="10"/>
  <c r="O27" i="10" s="1"/>
  <c r="M35" i="10"/>
  <c r="O35" i="10" s="1"/>
  <c r="M43" i="10"/>
  <c r="O43" i="10" s="1"/>
  <c r="M21" i="10"/>
  <c r="O21" i="10" s="1"/>
  <c r="M28" i="10"/>
  <c r="O28" i="10" s="1"/>
  <c r="M36" i="10"/>
  <c r="O36" i="10" s="1"/>
  <c r="M44" i="10"/>
  <c r="O44" i="10" s="1"/>
  <c r="M29" i="10"/>
  <c r="O29" i="10" s="1"/>
  <c r="L3" i="11" l="1"/>
  <c r="W33" i="12"/>
  <c r="Y33" i="12" s="1"/>
  <c r="W28" i="12"/>
  <c r="Y28" i="12" s="1"/>
  <c r="W31" i="12"/>
  <c r="Y31" i="12" s="1"/>
  <c r="W22" i="12"/>
  <c r="Y22" i="12" s="1"/>
  <c r="W41" i="12"/>
  <c r="Y41" i="12" s="1"/>
  <c r="W36" i="12"/>
  <c r="Y36" i="12" s="1"/>
  <c r="W39" i="12"/>
  <c r="Y39" i="12" s="1"/>
  <c r="W26" i="12"/>
  <c r="Y26" i="12" s="1"/>
  <c r="W44" i="12"/>
  <c r="Y44" i="12" s="1"/>
  <c r="W30" i="12"/>
  <c r="Y30" i="12" s="1"/>
  <c r="W23" i="12"/>
  <c r="Y23" i="12" s="1"/>
  <c r="W34" i="12"/>
  <c r="Y34" i="12" s="1"/>
  <c r="W21" i="12"/>
  <c r="Y21" i="12" s="1"/>
  <c r="W32" i="12"/>
  <c r="Y32" i="12" s="1"/>
  <c r="W42" i="12"/>
  <c r="Y42" i="12" s="1"/>
  <c r="W29" i="12"/>
  <c r="Y29" i="12" s="1"/>
  <c r="W35" i="12"/>
  <c r="Y35" i="12" s="1"/>
  <c r="W40" i="12"/>
  <c r="Y40" i="12" s="1"/>
  <c r="W27" i="12"/>
  <c r="Y27" i="12" s="1"/>
  <c r="W37" i="12"/>
  <c r="Y37" i="12" s="1"/>
  <c r="W38" i="12"/>
  <c r="Y38" i="12" s="1"/>
  <c r="W25" i="12"/>
  <c r="Y25" i="12" s="1"/>
  <c r="W43" i="12"/>
  <c r="Y43" i="12" s="1"/>
  <c r="W24" i="12"/>
  <c r="Y24" i="12" s="1"/>
  <c r="W71" i="12"/>
  <c r="Y71" i="12" s="1"/>
  <c r="W66" i="12"/>
  <c r="Y66" i="12" s="1"/>
  <c r="W68" i="12"/>
  <c r="Y68" i="12" s="1"/>
  <c r="W74" i="12"/>
  <c r="Y74" i="12" s="1"/>
  <c r="W54" i="12"/>
  <c r="Y54" i="12" s="1"/>
  <c r="W62" i="12"/>
  <c r="Y62" i="12" s="1"/>
  <c r="W56" i="12"/>
  <c r="Y56" i="12" s="1"/>
  <c r="W69" i="12"/>
  <c r="Y69" i="12" s="1"/>
  <c r="W64" i="12"/>
  <c r="Y64" i="12" s="1"/>
  <c r="W70" i="12"/>
  <c r="Y70" i="12" s="1"/>
  <c r="W51" i="12"/>
  <c r="Y51" i="12" s="1"/>
  <c r="W57" i="12"/>
  <c r="Y57" i="12" s="1"/>
  <c r="W59" i="12"/>
  <c r="Y59" i="12" s="1"/>
  <c r="W61" i="12"/>
  <c r="Y61" i="12" s="1"/>
  <c r="W72" i="12"/>
  <c r="Y72" i="12" s="1"/>
  <c r="W55" i="12"/>
  <c r="Y55" i="12" s="1"/>
  <c r="W53" i="12"/>
  <c r="Y53" i="12" s="1"/>
  <c r="W65" i="12"/>
  <c r="Y65" i="12" s="1"/>
  <c r="W67" i="12"/>
  <c r="Y67" i="12" s="1"/>
  <c r="W52" i="12"/>
  <c r="Y52" i="12" s="1"/>
  <c r="W63" i="12"/>
  <c r="Y63" i="12" s="1"/>
  <c r="W58" i="12"/>
  <c r="Y58" i="12" s="1"/>
  <c r="W60" i="12"/>
  <c r="Y60" i="12" s="1"/>
  <c r="W73" i="12"/>
  <c r="Y73" i="12" s="1"/>
  <c r="L78" i="10"/>
  <c r="A80" i="10"/>
  <c r="E79" i="10"/>
  <c r="F79" i="10"/>
  <c r="J79" i="10"/>
  <c r="K79" i="10"/>
  <c r="P6" i="10"/>
  <c r="M65" i="11" l="1"/>
  <c r="O65" i="11" s="1"/>
  <c r="M175" i="11"/>
  <c r="O175" i="11" s="1"/>
  <c r="M183" i="11"/>
  <c r="O183" i="11" s="1"/>
  <c r="M191" i="11"/>
  <c r="O191" i="11" s="1"/>
  <c r="M199" i="11"/>
  <c r="O199" i="11" s="1"/>
  <c r="M207" i="11"/>
  <c r="O207" i="11" s="1"/>
  <c r="M215" i="11"/>
  <c r="O215" i="11" s="1"/>
  <c r="M223" i="11"/>
  <c r="O223" i="11" s="1"/>
  <c r="M231" i="11"/>
  <c r="O231" i="11" s="1"/>
  <c r="M239" i="11"/>
  <c r="O239" i="11" s="1"/>
  <c r="M247" i="11"/>
  <c r="O247" i="11" s="1"/>
  <c r="M163" i="11"/>
  <c r="O163" i="11" s="1"/>
  <c r="M152" i="11"/>
  <c r="O152" i="11" s="1"/>
  <c r="M176" i="11"/>
  <c r="O176" i="11" s="1"/>
  <c r="M184" i="11"/>
  <c r="O184" i="11" s="1"/>
  <c r="M192" i="11"/>
  <c r="O192" i="11" s="1"/>
  <c r="M200" i="11"/>
  <c r="O200" i="11" s="1"/>
  <c r="M208" i="11"/>
  <c r="O208" i="11" s="1"/>
  <c r="M216" i="11"/>
  <c r="O216" i="11" s="1"/>
  <c r="M224" i="11"/>
  <c r="O224" i="11" s="1"/>
  <c r="M232" i="11"/>
  <c r="O232" i="11" s="1"/>
  <c r="M240" i="11"/>
  <c r="O240" i="11" s="1"/>
  <c r="M248" i="11"/>
  <c r="O248" i="11" s="1"/>
  <c r="M162" i="11"/>
  <c r="O162" i="11" s="1"/>
  <c r="M158" i="11"/>
  <c r="O158" i="11" s="1"/>
  <c r="M203" i="11"/>
  <c r="O203" i="11" s="1"/>
  <c r="M177" i="11"/>
  <c r="O177" i="11" s="1"/>
  <c r="M185" i="11"/>
  <c r="O185" i="11" s="1"/>
  <c r="M193" i="11"/>
  <c r="O193" i="11" s="1"/>
  <c r="M201" i="11"/>
  <c r="O201" i="11" s="1"/>
  <c r="M209" i="11"/>
  <c r="O209" i="11" s="1"/>
  <c r="M217" i="11"/>
  <c r="O217" i="11" s="1"/>
  <c r="M225" i="11"/>
  <c r="O225" i="11" s="1"/>
  <c r="M233" i="11"/>
  <c r="O233" i="11" s="1"/>
  <c r="M241" i="11"/>
  <c r="O241" i="11" s="1"/>
  <c r="M249" i="11"/>
  <c r="O249" i="11" s="1"/>
  <c r="M164" i="11"/>
  <c r="O164" i="11" s="1"/>
  <c r="M166" i="11"/>
  <c r="O166" i="11" s="1"/>
  <c r="M171" i="11"/>
  <c r="O171" i="11" s="1"/>
  <c r="M211" i="11"/>
  <c r="O211" i="11" s="1"/>
  <c r="M161" i="11"/>
  <c r="O161" i="11" s="1"/>
  <c r="M178" i="11"/>
  <c r="O178" i="11" s="1"/>
  <c r="M186" i="11"/>
  <c r="O186" i="11" s="1"/>
  <c r="M194" i="11"/>
  <c r="O194" i="11" s="1"/>
  <c r="M202" i="11"/>
  <c r="O202" i="11" s="1"/>
  <c r="M210" i="11"/>
  <c r="O210" i="11" s="1"/>
  <c r="M218" i="11"/>
  <c r="O218" i="11" s="1"/>
  <c r="M226" i="11"/>
  <c r="O226" i="11" s="1"/>
  <c r="M234" i="11"/>
  <c r="O234" i="11" s="1"/>
  <c r="M242" i="11"/>
  <c r="O242" i="11" s="1"/>
  <c r="M153" i="11"/>
  <c r="O153" i="11" s="1"/>
  <c r="M157" i="11"/>
  <c r="O157" i="11" s="1"/>
  <c r="M151" i="11"/>
  <c r="O151" i="11" s="1"/>
  <c r="M235" i="11"/>
  <c r="O235" i="11" s="1"/>
  <c r="M172" i="11"/>
  <c r="O172" i="11" s="1"/>
  <c r="M180" i="11"/>
  <c r="O180" i="11" s="1"/>
  <c r="M188" i="11"/>
  <c r="O188" i="11" s="1"/>
  <c r="M196" i="11"/>
  <c r="O196" i="11" s="1"/>
  <c r="M204" i="11"/>
  <c r="O204" i="11" s="1"/>
  <c r="M212" i="11"/>
  <c r="O212" i="11" s="1"/>
  <c r="M220" i="11"/>
  <c r="O220" i="11" s="1"/>
  <c r="M228" i="11"/>
  <c r="O228" i="11" s="1"/>
  <c r="M236" i="11"/>
  <c r="O236" i="11" s="1"/>
  <c r="M244" i="11"/>
  <c r="O244" i="11" s="1"/>
  <c r="M169" i="11"/>
  <c r="O169" i="11" s="1"/>
  <c r="M155" i="11"/>
  <c r="O155" i="11" s="1"/>
  <c r="M160" i="11"/>
  <c r="O160" i="11" s="1"/>
  <c r="M245" i="11"/>
  <c r="O245" i="11" s="1"/>
  <c r="M156" i="11"/>
  <c r="O156" i="11" s="1"/>
  <c r="M174" i="11"/>
  <c r="O174" i="11" s="1"/>
  <c r="M198" i="11"/>
  <c r="O198" i="11" s="1"/>
  <c r="M222" i="11"/>
  <c r="O222" i="11" s="1"/>
  <c r="M238" i="11"/>
  <c r="O238" i="11" s="1"/>
  <c r="M170" i="11"/>
  <c r="O170" i="11" s="1"/>
  <c r="M179" i="11"/>
  <c r="O179" i="11" s="1"/>
  <c r="M219" i="11"/>
  <c r="O219" i="11" s="1"/>
  <c r="M168" i="11"/>
  <c r="O168" i="11" s="1"/>
  <c r="M173" i="11"/>
  <c r="O173" i="11" s="1"/>
  <c r="M181" i="11"/>
  <c r="O181" i="11" s="1"/>
  <c r="M189" i="11"/>
  <c r="O189" i="11" s="1"/>
  <c r="M197" i="11"/>
  <c r="O197" i="11" s="1"/>
  <c r="M205" i="11"/>
  <c r="O205" i="11" s="1"/>
  <c r="M213" i="11"/>
  <c r="O213" i="11" s="1"/>
  <c r="M221" i="11"/>
  <c r="O221" i="11" s="1"/>
  <c r="M229" i="11"/>
  <c r="O229" i="11" s="1"/>
  <c r="M237" i="11"/>
  <c r="O237" i="11" s="1"/>
  <c r="M154" i="11"/>
  <c r="O154" i="11" s="1"/>
  <c r="M159" i="11"/>
  <c r="O159" i="11" s="1"/>
  <c r="M182" i="11"/>
  <c r="O182" i="11" s="1"/>
  <c r="M190" i="11"/>
  <c r="O190" i="11" s="1"/>
  <c r="M214" i="11"/>
  <c r="O214" i="11" s="1"/>
  <c r="M230" i="11"/>
  <c r="O230" i="11" s="1"/>
  <c r="M246" i="11"/>
  <c r="O246" i="11" s="1"/>
  <c r="M187" i="11"/>
  <c r="O187" i="11" s="1"/>
  <c r="M227" i="11"/>
  <c r="O227" i="11" s="1"/>
  <c r="M167" i="11"/>
  <c r="O167" i="11" s="1"/>
  <c r="M206" i="11"/>
  <c r="O206" i="11" s="1"/>
  <c r="M165" i="11"/>
  <c r="O165" i="11" s="1"/>
  <c r="M195" i="11"/>
  <c r="O195" i="11" s="1"/>
  <c r="M243" i="11"/>
  <c r="O243" i="11" s="1"/>
  <c r="M60" i="11"/>
  <c r="O60" i="11" s="1"/>
  <c r="M124" i="11"/>
  <c r="O124" i="11" s="1"/>
  <c r="M100" i="11"/>
  <c r="O100" i="11" s="1"/>
  <c r="M93" i="11"/>
  <c r="O93" i="11" s="1"/>
  <c r="M58" i="11"/>
  <c r="O58" i="11" s="1"/>
  <c r="M128" i="11"/>
  <c r="O128" i="11" s="1"/>
  <c r="M117" i="11"/>
  <c r="O117" i="11" s="1"/>
  <c r="M69" i="11"/>
  <c r="O69" i="11" s="1"/>
  <c r="M145" i="11"/>
  <c r="O145" i="11" s="1"/>
  <c r="M126" i="11"/>
  <c r="O126" i="11" s="1"/>
  <c r="M90" i="11"/>
  <c r="O90" i="11" s="1"/>
  <c r="M97" i="11"/>
  <c r="O97" i="11" s="1"/>
  <c r="M86" i="11"/>
  <c r="O86" i="11" s="1"/>
  <c r="M99" i="11"/>
  <c r="O99" i="11" s="1"/>
  <c r="M140" i="11"/>
  <c r="O140" i="11" s="1"/>
  <c r="M77" i="11"/>
  <c r="O77" i="11" s="1"/>
  <c r="M52" i="11"/>
  <c r="O52" i="11" s="1"/>
  <c r="M107" i="11"/>
  <c r="O107" i="11" s="1"/>
  <c r="M56" i="11"/>
  <c r="O56" i="11" s="1"/>
  <c r="M129" i="11"/>
  <c r="O129" i="11" s="1"/>
  <c r="M68" i="11"/>
  <c r="O68" i="11" s="1"/>
  <c r="M87" i="11"/>
  <c r="O87" i="11" s="1"/>
  <c r="M89" i="11"/>
  <c r="O89" i="11" s="1"/>
  <c r="M150" i="11"/>
  <c r="O150" i="11" s="1"/>
  <c r="M66" i="11"/>
  <c r="O66" i="11" s="1"/>
  <c r="M139" i="11"/>
  <c r="O139" i="11" s="1"/>
  <c r="M59" i="11"/>
  <c r="O59" i="11" s="1"/>
  <c r="M53" i="11"/>
  <c r="O53" i="11" s="1"/>
  <c r="M75" i="11"/>
  <c r="O75" i="11" s="1"/>
  <c r="M114" i="11"/>
  <c r="O114" i="11" s="1"/>
  <c r="M131" i="11"/>
  <c r="O131" i="11" s="1"/>
  <c r="M136" i="11"/>
  <c r="O136" i="11" s="1"/>
  <c r="M74" i="11"/>
  <c r="O74" i="11" s="1"/>
  <c r="M63" i="11"/>
  <c r="O63" i="11" s="1"/>
  <c r="M138" i="11"/>
  <c r="O138" i="11" s="1"/>
  <c r="M55" i="11"/>
  <c r="O55" i="11" s="1"/>
  <c r="M62" i="11"/>
  <c r="O62" i="11" s="1"/>
  <c r="M108" i="11"/>
  <c r="O108" i="11" s="1"/>
  <c r="M132" i="11"/>
  <c r="O132" i="11" s="1"/>
  <c r="M61" i="11"/>
  <c r="O61" i="11" s="1"/>
  <c r="M88" i="11"/>
  <c r="O88" i="11" s="1"/>
  <c r="M82" i="11"/>
  <c r="O82" i="11" s="1"/>
  <c r="M78" i="11"/>
  <c r="O78" i="11" s="1"/>
  <c r="M148" i="11"/>
  <c r="O148" i="11" s="1"/>
  <c r="M79" i="11"/>
  <c r="O79" i="11" s="1"/>
  <c r="M125" i="11"/>
  <c r="O125" i="11" s="1"/>
  <c r="M118" i="11"/>
  <c r="O118" i="11" s="1"/>
  <c r="M95" i="11"/>
  <c r="O95" i="11" s="1"/>
  <c r="M141" i="11"/>
  <c r="O141" i="11" s="1"/>
  <c r="M103" i="11"/>
  <c r="O103" i="11" s="1"/>
  <c r="M122" i="11"/>
  <c r="O122" i="11" s="1"/>
  <c r="M137" i="11"/>
  <c r="O137" i="11" s="1"/>
  <c r="M119" i="11"/>
  <c r="O119" i="11" s="1"/>
  <c r="M91" i="11"/>
  <c r="O91" i="11" s="1"/>
  <c r="M72" i="11"/>
  <c r="O72" i="11" s="1"/>
  <c r="M54" i="11"/>
  <c r="O54" i="11" s="1"/>
  <c r="M111" i="11"/>
  <c r="O111" i="11" s="1"/>
  <c r="M57" i="11"/>
  <c r="O57" i="11" s="1"/>
  <c r="M134" i="11"/>
  <c r="O134" i="11" s="1"/>
  <c r="M142" i="11"/>
  <c r="O142" i="11" s="1"/>
  <c r="M144" i="11"/>
  <c r="O144" i="11" s="1"/>
  <c r="M123" i="11"/>
  <c r="O123" i="11" s="1"/>
  <c r="M130" i="11"/>
  <c r="O130" i="11" s="1"/>
  <c r="M133" i="11"/>
  <c r="O133" i="11" s="1"/>
  <c r="M121" i="11"/>
  <c r="O121" i="11" s="1"/>
  <c r="M67" i="11"/>
  <c r="O67" i="11" s="1"/>
  <c r="M98" i="11"/>
  <c r="O98" i="11" s="1"/>
  <c r="M73" i="11"/>
  <c r="O73" i="11" s="1"/>
  <c r="M112" i="11"/>
  <c r="O112" i="11" s="1"/>
  <c r="M92" i="11"/>
  <c r="O92" i="11" s="1"/>
  <c r="M70" i="11"/>
  <c r="O70" i="11" s="1"/>
  <c r="M135" i="11"/>
  <c r="O135" i="11" s="1"/>
  <c r="M104" i="11"/>
  <c r="O104" i="11" s="1"/>
  <c r="M106" i="11"/>
  <c r="O106" i="11" s="1"/>
  <c r="M113" i="11"/>
  <c r="O113" i="11" s="1"/>
  <c r="M85" i="11"/>
  <c r="O85" i="11" s="1"/>
  <c r="M101" i="11"/>
  <c r="O101" i="11" s="1"/>
  <c r="M147" i="11"/>
  <c r="O147" i="11" s="1"/>
  <c r="M80" i="11"/>
  <c r="O80" i="11" s="1"/>
  <c r="M51" i="11"/>
  <c r="O51" i="11" s="1"/>
  <c r="M81" i="11"/>
  <c r="O81" i="11" s="1"/>
  <c r="M94" i="11"/>
  <c r="O94" i="11" s="1"/>
  <c r="M84" i="11"/>
  <c r="O84" i="11" s="1"/>
  <c r="M76" i="11"/>
  <c r="O76" i="11" s="1"/>
  <c r="M116" i="11"/>
  <c r="O116" i="11" s="1"/>
  <c r="M83" i="11"/>
  <c r="O83" i="11" s="1"/>
  <c r="M71" i="11"/>
  <c r="O71" i="11" s="1"/>
  <c r="M64" i="11"/>
  <c r="O64" i="11" s="1"/>
  <c r="M149" i="11"/>
  <c r="O149" i="11" s="1"/>
  <c r="M143" i="11"/>
  <c r="O143" i="11" s="1"/>
  <c r="M120" i="11"/>
  <c r="O120" i="11" s="1"/>
  <c r="M146" i="11"/>
  <c r="O146" i="11" s="1"/>
  <c r="M109" i="11"/>
  <c r="O109" i="11" s="1"/>
  <c r="M115" i="11"/>
  <c r="O115" i="11" s="1"/>
  <c r="M127" i="11"/>
  <c r="O127" i="11" s="1"/>
  <c r="M105" i="11"/>
  <c r="O105" i="11" s="1"/>
  <c r="M110" i="11"/>
  <c r="O110" i="11" s="1"/>
  <c r="M96" i="11"/>
  <c r="O96" i="11" s="1"/>
  <c r="M102" i="11"/>
  <c r="O102" i="11" s="1"/>
  <c r="Z6" i="12"/>
  <c r="AA6" i="12"/>
  <c r="Z7" i="12" s="1"/>
  <c r="L79" i="10"/>
  <c r="A81" i="10"/>
  <c r="F80" i="10"/>
  <c r="E80" i="10"/>
  <c r="J80" i="10"/>
  <c r="K80" i="10"/>
  <c r="Q7" i="10"/>
  <c r="C103" i="5"/>
  <c r="D103" i="5"/>
  <c r="P189" i="11" l="1"/>
  <c r="Q189" i="11" s="1"/>
  <c r="P244" i="11"/>
  <c r="Q244" i="11" s="1"/>
  <c r="P226" i="11"/>
  <c r="Q226" i="11" s="1"/>
  <c r="P217" i="11"/>
  <c r="Q217" i="11" s="1"/>
  <c r="P192" i="11"/>
  <c r="Q192" i="11" s="1"/>
  <c r="P227" i="11"/>
  <c r="Q227" i="11" s="1"/>
  <c r="P236" i="11"/>
  <c r="Q236" i="11" s="1"/>
  <c r="P218" i="11"/>
  <c r="Q218" i="11" s="1"/>
  <c r="P209" i="11"/>
  <c r="Q209" i="11" s="1"/>
  <c r="P187" i="11"/>
  <c r="Q187" i="11" s="1"/>
  <c r="P228" i="11"/>
  <c r="Q228" i="11" s="1"/>
  <c r="P210" i="11"/>
  <c r="Q210" i="11" s="1"/>
  <c r="P201" i="11"/>
  <c r="Q201" i="11" s="1"/>
  <c r="P246" i="11"/>
  <c r="Q246" i="11" s="1"/>
  <c r="P220" i="11"/>
  <c r="Q220" i="11" s="1"/>
  <c r="P202" i="11"/>
  <c r="Q202" i="11" s="1"/>
  <c r="P193" i="11"/>
  <c r="Q193" i="11" s="1"/>
  <c r="P230" i="11"/>
  <c r="Q230" i="11" s="1"/>
  <c r="P219" i="11"/>
  <c r="Q219" i="11" s="1"/>
  <c r="P212" i="11"/>
  <c r="Q212" i="11" s="1"/>
  <c r="P194" i="11"/>
  <c r="Q194" i="11" s="1"/>
  <c r="P214" i="11"/>
  <c r="Q214" i="11" s="1"/>
  <c r="P204" i="11"/>
  <c r="Q204" i="11" s="1"/>
  <c r="P186" i="11"/>
  <c r="Q186" i="11" s="1"/>
  <c r="P247" i="11"/>
  <c r="Q247" i="11" s="1"/>
  <c r="P190" i="11"/>
  <c r="Q190" i="11" s="1"/>
  <c r="P196" i="11"/>
  <c r="Q196" i="11" s="1"/>
  <c r="P203" i="11"/>
  <c r="Q203" i="11" s="1"/>
  <c r="P239" i="11"/>
  <c r="Q239" i="11" s="1"/>
  <c r="P238" i="11"/>
  <c r="Q238" i="11" s="1"/>
  <c r="P188" i="11"/>
  <c r="Q188" i="11" s="1"/>
  <c r="P231" i="11"/>
  <c r="Q231" i="11" s="1"/>
  <c r="P222" i="11"/>
  <c r="Q222" i="11" s="1"/>
  <c r="P211" i="11"/>
  <c r="Q211" i="11" s="1"/>
  <c r="P223" i="11"/>
  <c r="Q223" i="11" s="1"/>
  <c r="P198" i="11"/>
  <c r="Q198" i="11" s="1"/>
  <c r="P248" i="11"/>
  <c r="Q248" i="11" s="1"/>
  <c r="P215" i="11"/>
  <c r="Q215" i="11" s="1"/>
  <c r="P237" i="11"/>
  <c r="Q237" i="11" s="1"/>
  <c r="P235" i="11"/>
  <c r="Q235" i="11" s="1"/>
  <c r="P240" i="11"/>
  <c r="Q240" i="11" s="1"/>
  <c r="P207" i="11"/>
  <c r="Q207" i="11" s="1"/>
  <c r="P229" i="11"/>
  <c r="Q229" i="11" s="1"/>
  <c r="P232" i="11"/>
  <c r="Q232" i="11" s="1"/>
  <c r="P199" i="11"/>
  <c r="Q199" i="11" s="1"/>
  <c r="P243" i="11"/>
  <c r="Q243" i="11" s="1"/>
  <c r="P221" i="11"/>
  <c r="Q221" i="11" s="1"/>
  <c r="P245" i="11"/>
  <c r="Q245" i="11" s="1"/>
  <c r="P249" i="11"/>
  <c r="Q249" i="11" s="1"/>
  <c r="P224" i="11"/>
  <c r="Q224" i="11" s="1"/>
  <c r="P191" i="11"/>
  <c r="Q191" i="11" s="1"/>
  <c r="P195" i="11"/>
  <c r="Q195" i="11" s="1"/>
  <c r="P213" i="11"/>
  <c r="Q213" i="11" s="1"/>
  <c r="P241" i="11"/>
  <c r="Q241" i="11" s="1"/>
  <c r="P216" i="11"/>
  <c r="Q216" i="11" s="1"/>
  <c r="P205" i="11"/>
  <c r="Q205" i="11" s="1"/>
  <c r="P242" i="11"/>
  <c r="Q242" i="11" s="1"/>
  <c r="P233" i="11"/>
  <c r="Q233" i="11" s="1"/>
  <c r="P208" i="11"/>
  <c r="Q208" i="11" s="1"/>
  <c r="P206" i="11"/>
  <c r="Q206" i="11" s="1"/>
  <c r="P197" i="11"/>
  <c r="Q197" i="11" s="1"/>
  <c r="P234" i="11"/>
  <c r="Q234" i="11" s="1"/>
  <c r="P225" i="11"/>
  <c r="Q225" i="11" s="1"/>
  <c r="P200" i="11"/>
  <c r="Q200" i="11" s="1"/>
  <c r="P181" i="11"/>
  <c r="Q181" i="11" s="1"/>
  <c r="P184" i="11"/>
  <c r="Q184" i="11" s="1"/>
  <c r="P185" i="11"/>
  <c r="Q185" i="11" s="1"/>
  <c r="P183" i="11"/>
  <c r="Q183" i="11" s="1"/>
  <c r="P182" i="11"/>
  <c r="Q182" i="11" s="1"/>
  <c r="P154" i="11"/>
  <c r="Q154" i="11" s="1"/>
  <c r="P172" i="11"/>
  <c r="Q172" i="11" s="1"/>
  <c r="P167" i="11"/>
  <c r="Q167" i="11" s="1"/>
  <c r="P159" i="11"/>
  <c r="Q159" i="11" s="1"/>
  <c r="P180" i="11"/>
  <c r="Q180" i="11" s="1"/>
  <c r="P162" i="11"/>
  <c r="Q162" i="11" s="1"/>
  <c r="P173" i="11"/>
  <c r="Q173" i="11" s="1"/>
  <c r="P174" i="11"/>
  <c r="Q174" i="11" s="1"/>
  <c r="P166" i="11"/>
  <c r="Q166" i="11" s="1"/>
  <c r="P176" i="11"/>
  <c r="Q176" i="11" s="1"/>
  <c r="P168" i="11"/>
  <c r="Q168" i="11" s="1"/>
  <c r="P156" i="11"/>
  <c r="Q156" i="11" s="1"/>
  <c r="P151" i="11"/>
  <c r="Q151" i="11" s="1"/>
  <c r="P164" i="11"/>
  <c r="Q164" i="11" s="1"/>
  <c r="P152" i="11"/>
  <c r="Q152" i="11" s="1"/>
  <c r="P157" i="11"/>
  <c r="Q157" i="11" s="1"/>
  <c r="P163" i="11"/>
  <c r="Q163" i="11" s="1"/>
  <c r="P171" i="11"/>
  <c r="Q171" i="11" s="1"/>
  <c r="P179" i="11"/>
  <c r="Q179" i="11" s="1"/>
  <c r="P160" i="11"/>
  <c r="Q160" i="11" s="1"/>
  <c r="P153" i="11"/>
  <c r="Q153" i="11" s="1"/>
  <c r="P177" i="11"/>
  <c r="Q177" i="11" s="1"/>
  <c r="P165" i="11"/>
  <c r="Q165" i="11" s="1"/>
  <c r="P170" i="11"/>
  <c r="Q170" i="11" s="1"/>
  <c r="P155" i="11"/>
  <c r="Q155" i="11" s="1"/>
  <c r="P178" i="11"/>
  <c r="Q178" i="11" s="1"/>
  <c r="P175" i="11"/>
  <c r="Q175" i="11" s="1"/>
  <c r="P169" i="11"/>
  <c r="Q169" i="11" s="1"/>
  <c r="P161" i="11"/>
  <c r="Q161" i="11" s="1"/>
  <c r="P158" i="11"/>
  <c r="Q158" i="11" s="1"/>
  <c r="Z26" i="12"/>
  <c r="AA26" i="12" s="1"/>
  <c r="Z40" i="12"/>
  <c r="AA40" i="12" s="1"/>
  <c r="Z21" i="12"/>
  <c r="Z29" i="12"/>
  <c r="AA29" i="12" s="1"/>
  <c r="Z31" i="12"/>
  <c r="AA31" i="12" s="1"/>
  <c r="Z38" i="12"/>
  <c r="AA38" i="12" s="1"/>
  <c r="Z24" i="12"/>
  <c r="AA24" i="12" s="1"/>
  <c r="Z23" i="12"/>
  <c r="AA23" i="12" s="1"/>
  <c r="Z36" i="12"/>
  <c r="AA36" i="12" s="1"/>
  <c r="Z33" i="12"/>
  <c r="AA33" i="12" s="1"/>
  <c r="Z27" i="12"/>
  <c r="AA27" i="12" s="1"/>
  <c r="Z32" i="12"/>
  <c r="AA32" i="12" s="1"/>
  <c r="Z44" i="12"/>
  <c r="AA44" i="12" s="1"/>
  <c r="Z22" i="12"/>
  <c r="AA22" i="12" s="1"/>
  <c r="Z25" i="12"/>
  <c r="AA25" i="12" s="1"/>
  <c r="Z35" i="12"/>
  <c r="AA35" i="12" s="1"/>
  <c r="Z34" i="12"/>
  <c r="AA34" i="12" s="1"/>
  <c r="Z39" i="12"/>
  <c r="AA39" i="12" s="1"/>
  <c r="Z28" i="12"/>
  <c r="AA28" i="12" s="1"/>
  <c r="Z37" i="12"/>
  <c r="AA37" i="12" s="1"/>
  <c r="Z42" i="12"/>
  <c r="AA42" i="12" s="1"/>
  <c r="Z30" i="12"/>
  <c r="AA30" i="12" s="1"/>
  <c r="Z41" i="12"/>
  <c r="AA41" i="12" s="1"/>
  <c r="Z43" i="12"/>
  <c r="AA43" i="12" s="1"/>
  <c r="P115" i="11"/>
  <c r="Q115" i="11" s="1"/>
  <c r="P92" i="11"/>
  <c r="Q92" i="11" s="1"/>
  <c r="P91" i="11"/>
  <c r="Q91" i="11" s="1"/>
  <c r="P108" i="11"/>
  <c r="Q108" i="11" s="1"/>
  <c r="P87" i="11"/>
  <c r="Q87" i="11" s="1"/>
  <c r="P128" i="11"/>
  <c r="Q128" i="11" s="1"/>
  <c r="P146" i="11"/>
  <c r="Q146" i="11" s="1"/>
  <c r="P76" i="11"/>
  <c r="Q76" i="11" s="1"/>
  <c r="P85" i="11"/>
  <c r="Q85" i="11" s="1"/>
  <c r="P73" i="11"/>
  <c r="Q73" i="11" s="1"/>
  <c r="P142" i="11"/>
  <c r="Q142" i="11" s="1"/>
  <c r="P137" i="11"/>
  <c r="Q137" i="11" s="1"/>
  <c r="P148" i="11"/>
  <c r="Q148" i="11" s="1"/>
  <c r="P55" i="11"/>
  <c r="Q55" i="11" s="1"/>
  <c r="P53" i="11"/>
  <c r="Q53" i="11" s="1"/>
  <c r="P129" i="11"/>
  <c r="Q129" i="11" s="1"/>
  <c r="P97" i="11"/>
  <c r="Q97" i="11" s="1"/>
  <c r="P93" i="11"/>
  <c r="Q93" i="11" s="1"/>
  <c r="P102" i="11"/>
  <c r="Q102" i="11" s="1"/>
  <c r="P113" i="11"/>
  <c r="Q113" i="11" s="1"/>
  <c r="P134" i="11"/>
  <c r="Q134" i="11" s="1"/>
  <c r="P138" i="11"/>
  <c r="Q138" i="11" s="1"/>
  <c r="P100" i="11"/>
  <c r="Q100" i="11" s="1"/>
  <c r="P143" i="11"/>
  <c r="Q143" i="11" s="1"/>
  <c r="P106" i="11"/>
  <c r="Q106" i="11" s="1"/>
  <c r="P57" i="11"/>
  <c r="Q57" i="11" s="1"/>
  <c r="P103" i="11"/>
  <c r="Q103" i="11" s="1"/>
  <c r="P63" i="11"/>
  <c r="Q63" i="11" s="1"/>
  <c r="P139" i="11"/>
  <c r="Q139" i="11" s="1"/>
  <c r="P107" i="11"/>
  <c r="Q107" i="11" s="1"/>
  <c r="P126" i="11"/>
  <c r="Q126" i="11" s="1"/>
  <c r="P124" i="11"/>
  <c r="Q124" i="11" s="1"/>
  <c r="P110" i="11"/>
  <c r="Q110" i="11" s="1"/>
  <c r="P149" i="11"/>
  <c r="Q149" i="11" s="1"/>
  <c r="P81" i="11"/>
  <c r="Q81" i="11" s="1"/>
  <c r="P104" i="11"/>
  <c r="Q104" i="11" s="1"/>
  <c r="P121" i="11"/>
  <c r="Q121" i="11" s="1"/>
  <c r="P111" i="11"/>
  <c r="Q111" i="11" s="1"/>
  <c r="P141" i="11"/>
  <c r="Q141" i="11" s="1"/>
  <c r="P88" i="11"/>
  <c r="Q88" i="11" s="1"/>
  <c r="P74" i="11"/>
  <c r="Q74" i="11" s="1"/>
  <c r="P66" i="11"/>
  <c r="Q66" i="11" s="1"/>
  <c r="P52" i="11"/>
  <c r="Q52" i="11" s="1"/>
  <c r="P145" i="11"/>
  <c r="Q145" i="11" s="1"/>
  <c r="P60" i="11"/>
  <c r="Q60" i="11" s="1"/>
  <c r="P120" i="11"/>
  <c r="Q120" i="11" s="1"/>
  <c r="P78" i="11"/>
  <c r="Q78" i="11" s="1"/>
  <c r="P90" i="11"/>
  <c r="Q90" i="11" s="1"/>
  <c r="P96" i="11"/>
  <c r="Q96" i="11" s="1"/>
  <c r="P94" i="11"/>
  <c r="Q94" i="11" s="1"/>
  <c r="P67" i="11"/>
  <c r="Q67" i="11" s="1"/>
  <c r="P82" i="11"/>
  <c r="Q82" i="11" s="1"/>
  <c r="P105" i="11"/>
  <c r="Q105" i="11" s="1"/>
  <c r="P64" i="11"/>
  <c r="Q64" i="11" s="1"/>
  <c r="P51" i="11"/>
  <c r="Q51" i="11" s="1"/>
  <c r="P135" i="11"/>
  <c r="Q135" i="11" s="1"/>
  <c r="P133" i="11"/>
  <c r="Q133" i="11" s="1"/>
  <c r="P54" i="11"/>
  <c r="Q54" i="11" s="1"/>
  <c r="P95" i="11"/>
  <c r="Q95" i="11" s="1"/>
  <c r="P61" i="11"/>
  <c r="Q61" i="11" s="1"/>
  <c r="P136" i="11"/>
  <c r="Q136" i="11" s="1"/>
  <c r="P150" i="11"/>
  <c r="Q150" i="11" s="1"/>
  <c r="P77" i="11"/>
  <c r="Q77" i="11" s="1"/>
  <c r="P69" i="11"/>
  <c r="Q69" i="11" s="1"/>
  <c r="P84" i="11"/>
  <c r="Q84" i="11" s="1"/>
  <c r="P98" i="11"/>
  <c r="Q98" i="11" s="1"/>
  <c r="P122" i="11"/>
  <c r="Q122" i="11" s="1"/>
  <c r="P59" i="11"/>
  <c r="Q59" i="11" s="1"/>
  <c r="P56" i="11"/>
  <c r="Q56" i="11" s="1"/>
  <c r="P127" i="11"/>
  <c r="Q127" i="11" s="1"/>
  <c r="P71" i="11"/>
  <c r="Q71" i="11" s="1"/>
  <c r="P80" i="11"/>
  <c r="Q80" i="11" s="1"/>
  <c r="P70" i="11"/>
  <c r="Q70" i="11" s="1"/>
  <c r="P130" i="11"/>
  <c r="Q130" i="11" s="1"/>
  <c r="P72" i="11"/>
  <c r="Q72" i="11" s="1"/>
  <c r="P118" i="11"/>
  <c r="Q118" i="11" s="1"/>
  <c r="P132" i="11"/>
  <c r="Q132" i="11" s="1"/>
  <c r="P131" i="11"/>
  <c r="Q131" i="11" s="1"/>
  <c r="P89" i="11"/>
  <c r="Q89" i="11" s="1"/>
  <c r="P140" i="11"/>
  <c r="Q140" i="11" s="1"/>
  <c r="P117" i="11"/>
  <c r="Q117" i="11" s="1"/>
  <c r="P147" i="11"/>
  <c r="Q147" i="11" s="1"/>
  <c r="P114" i="11"/>
  <c r="Q114" i="11" s="1"/>
  <c r="P83" i="11"/>
  <c r="Q83" i="11" s="1"/>
  <c r="P123" i="11"/>
  <c r="Q123" i="11" s="1"/>
  <c r="P125" i="11"/>
  <c r="Q125" i="11" s="1"/>
  <c r="P99" i="11"/>
  <c r="Q99" i="11" s="1"/>
  <c r="P109" i="11"/>
  <c r="Q109" i="11" s="1"/>
  <c r="P116" i="11"/>
  <c r="Q116" i="11" s="1"/>
  <c r="P101" i="11"/>
  <c r="Q101" i="11" s="1"/>
  <c r="P112" i="11"/>
  <c r="Q112" i="11" s="1"/>
  <c r="P144" i="11"/>
  <c r="Q144" i="11" s="1"/>
  <c r="P119" i="11"/>
  <c r="Q119" i="11" s="1"/>
  <c r="P79" i="11"/>
  <c r="Q79" i="11" s="1"/>
  <c r="P62" i="11"/>
  <c r="Q62" i="11" s="1"/>
  <c r="P75" i="11"/>
  <c r="Q75" i="11" s="1"/>
  <c r="P68" i="11"/>
  <c r="Q68" i="11" s="1"/>
  <c r="P86" i="11"/>
  <c r="Q86" i="11" s="1"/>
  <c r="P58" i="11"/>
  <c r="Q58" i="11" s="1"/>
  <c r="P65" i="11"/>
  <c r="Q65" i="11" s="1"/>
  <c r="Q6" i="11"/>
  <c r="P7" i="11" s="1"/>
  <c r="AA7" i="12"/>
  <c r="AB7" i="12"/>
  <c r="Z47" i="12" s="1"/>
  <c r="AA47" i="12" s="1"/>
  <c r="AB2" i="12" s="1"/>
  <c r="L80" i="10"/>
  <c r="A82" i="10"/>
  <c r="E81" i="10"/>
  <c r="F81" i="10"/>
  <c r="J81" i="10"/>
  <c r="K81" i="10"/>
  <c r="Z60" i="12" l="1"/>
  <c r="AA60" i="12" s="1"/>
  <c r="Z57" i="12"/>
  <c r="AA57" i="12" s="1"/>
  <c r="Z53" i="12"/>
  <c r="AA53" i="12" s="1"/>
  <c r="Z72" i="12"/>
  <c r="AA72" i="12" s="1"/>
  <c r="Z74" i="12"/>
  <c r="AA74" i="12" s="1"/>
  <c r="Z64" i="12"/>
  <c r="AA64" i="12" s="1"/>
  <c r="Z55" i="12"/>
  <c r="AA55" i="12" s="1"/>
  <c r="Z56" i="12"/>
  <c r="AA56" i="12" s="1"/>
  <c r="Z67" i="12"/>
  <c r="AA67" i="12" s="1"/>
  <c r="Z71" i="12"/>
  <c r="AA71" i="12" s="1"/>
  <c r="Z59" i="12"/>
  <c r="AA59" i="12" s="1"/>
  <c r="Z51" i="12"/>
  <c r="AA51" i="12" s="1"/>
  <c r="Z58" i="12"/>
  <c r="AA58" i="12" s="1"/>
  <c r="Z54" i="12"/>
  <c r="AA54" i="12" s="1"/>
  <c r="Z68" i="12"/>
  <c r="AA68" i="12" s="1"/>
  <c r="Z65" i="12"/>
  <c r="AA65" i="12" s="1"/>
  <c r="Z63" i="12"/>
  <c r="AA63" i="12" s="1"/>
  <c r="Z62" i="12"/>
  <c r="AA62" i="12" s="1"/>
  <c r="Z61" i="12"/>
  <c r="AA61" i="12" s="1"/>
  <c r="Z73" i="12"/>
  <c r="AA73" i="12" s="1"/>
  <c r="Z70" i="12"/>
  <c r="AA70" i="12" s="1"/>
  <c r="Z52" i="12"/>
  <c r="AA52" i="12" s="1"/>
  <c r="Z66" i="12"/>
  <c r="AA66" i="12" s="1"/>
  <c r="Z69" i="12"/>
  <c r="AA69" i="12" s="1"/>
  <c r="AA21" i="12"/>
  <c r="Z2" i="12" s="1"/>
  <c r="Q2" i="11"/>
  <c r="Q3" i="11" s="1"/>
  <c r="P27" i="11"/>
  <c r="Q27" i="11" s="1"/>
  <c r="P44" i="11"/>
  <c r="Q44" i="11" s="1"/>
  <c r="P21" i="11"/>
  <c r="Q21" i="11" s="1"/>
  <c r="P41" i="11"/>
  <c r="Q41" i="11" s="1"/>
  <c r="P38" i="11"/>
  <c r="Q38" i="11" s="1"/>
  <c r="P40" i="11"/>
  <c r="Q40" i="11" s="1"/>
  <c r="P26" i="11"/>
  <c r="Q26" i="11" s="1"/>
  <c r="P31" i="11"/>
  <c r="Q31" i="11" s="1"/>
  <c r="P36" i="11"/>
  <c r="Q36" i="11" s="1"/>
  <c r="P25" i="11"/>
  <c r="Q25" i="11" s="1"/>
  <c r="P23" i="11"/>
  <c r="Q23" i="11" s="1"/>
  <c r="P43" i="11"/>
  <c r="Q43" i="11" s="1"/>
  <c r="P35" i="11"/>
  <c r="Q35" i="11" s="1"/>
  <c r="P39" i="11"/>
  <c r="Q39" i="11" s="1"/>
  <c r="P33" i="11"/>
  <c r="Q33" i="11" s="1"/>
  <c r="P42" i="11"/>
  <c r="Q42" i="11" s="1"/>
  <c r="P30" i="11"/>
  <c r="Q30" i="11" s="1"/>
  <c r="P37" i="11"/>
  <c r="Q37" i="11" s="1"/>
  <c r="P34" i="11"/>
  <c r="Q34" i="11" s="1"/>
  <c r="P28" i="11"/>
  <c r="Q28" i="11" s="1"/>
  <c r="P22" i="11"/>
  <c r="Q22" i="11" s="1"/>
  <c r="P24" i="11"/>
  <c r="Q24" i="11" s="1"/>
  <c r="P29" i="11"/>
  <c r="Q29" i="11" s="1"/>
  <c r="P32" i="11"/>
  <c r="Q32" i="11" s="1"/>
  <c r="R7" i="11"/>
  <c r="AB18" i="12"/>
  <c r="AB4" i="12"/>
  <c r="AB3" i="12"/>
  <c r="L81" i="10"/>
  <c r="A83" i="10"/>
  <c r="F82" i="10"/>
  <c r="E82" i="10"/>
  <c r="J82" i="10"/>
  <c r="K82" i="10"/>
  <c r="Q4" i="11" l="1"/>
  <c r="R82" i="11" s="1"/>
  <c r="T82" i="11" s="1"/>
  <c r="P47" i="11"/>
  <c r="Q47" i="11" s="1"/>
  <c r="R2" i="11" s="1"/>
  <c r="R244" i="11"/>
  <c r="T244" i="11" s="1"/>
  <c r="R243" i="11"/>
  <c r="T243" i="11" s="1"/>
  <c r="R236" i="11"/>
  <c r="T236" i="11" s="1"/>
  <c r="R211" i="11"/>
  <c r="T211" i="11" s="1"/>
  <c r="R228" i="11"/>
  <c r="T228" i="11" s="1"/>
  <c r="R233" i="11"/>
  <c r="T233" i="11" s="1"/>
  <c r="R248" i="11"/>
  <c r="T248" i="11" s="1"/>
  <c r="R237" i="11"/>
  <c r="T237" i="11" s="1"/>
  <c r="R220" i="11"/>
  <c r="T220" i="11" s="1"/>
  <c r="R242" i="11"/>
  <c r="T242" i="11" s="1"/>
  <c r="R240" i="11"/>
  <c r="T240" i="11" s="1"/>
  <c r="R239" i="11"/>
  <c r="T239" i="11" s="1"/>
  <c r="R246" i="11"/>
  <c r="T246" i="11" s="1"/>
  <c r="R221" i="11"/>
  <c r="T221" i="11" s="1"/>
  <c r="R249" i="11"/>
  <c r="T249" i="11" s="1"/>
  <c r="R232" i="11"/>
  <c r="T232" i="11" s="1"/>
  <c r="R247" i="11"/>
  <c r="T247" i="11" s="1"/>
  <c r="R235" i="11"/>
  <c r="T235" i="11" s="1"/>
  <c r="R226" i="11"/>
  <c r="T226" i="11" s="1"/>
  <c r="R241" i="11"/>
  <c r="T241" i="11" s="1"/>
  <c r="R224" i="11"/>
  <c r="T224" i="11" s="1"/>
  <c r="R238" i="11"/>
  <c r="T238" i="11" s="1"/>
  <c r="R245" i="11"/>
  <c r="T245" i="11" s="1"/>
  <c r="R223" i="11"/>
  <c r="T223" i="11" s="1"/>
  <c r="R227" i="11"/>
  <c r="T227" i="11" s="1"/>
  <c r="R225" i="11"/>
  <c r="T225" i="11" s="1"/>
  <c r="R216" i="11"/>
  <c r="T216" i="11" s="1"/>
  <c r="P2" i="11"/>
  <c r="AB47" i="12"/>
  <c r="AA2" i="12"/>
  <c r="Z18" i="12"/>
  <c r="Z3" i="12"/>
  <c r="Z4" i="12"/>
  <c r="L82" i="10"/>
  <c r="A84" i="10"/>
  <c r="E83" i="10"/>
  <c r="F83" i="10"/>
  <c r="J83" i="10"/>
  <c r="K83" i="10"/>
  <c r="R205" i="11" l="1"/>
  <c r="T205" i="11" s="1"/>
  <c r="R201" i="11"/>
  <c r="T201" i="11" s="1"/>
  <c r="R212" i="11"/>
  <c r="T212" i="11" s="1"/>
  <c r="R230" i="11"/>
  <c r="T230" i="11" s="1"/>
  <c r="R214" i="11"/>
  <c r="T214" i="11" s="1"/>
  <c r="R215" i="11"/>
  <c r="T215" i="11" s="1"/>
  <c r="R222" i="11"/>
  <c r="T222" i="11" s="1"/>
  <c r="R217" i="11"/>
  <c r="T217" i="11" s="1"/>
  <c r="R234" i="11"/>
  <c r="T234" i="11" s="1"/>
  <c r="R218" i="11"/>
  <c r="T218" i="11" s="1"/>
  <c r="R229" i="11"/>
  <c r="T229" i="11" s="1"/>
  <c r="R219" i="11"/>
  <c r="T219" i="11" s="1"/>
  <c r="R231" i="11"/>
  <c r="T231" i="11" s="1"/>
  <c r="R197" i="11"/>
  <c r="T197" i="11" s="1"/>
  <c r="R199" i="11"/>
  <c r="T199" i="11" s="1"/>
  <c r="R200" i="11"/>
  <c r="T200" i="11" s="1"/>
  <c r="R196" i="11"/>
  <c r="T196" i="11" s="1"/>
  <c r="R207" i="11"/>
  <c r="T207" i="11" s="1"/>
  <c r="R187" i="11"/>
  <c r="T187" i="11" s="1"/>
  <c r="R208" i="11"/>
  <c r="T208" i="11" s="1"/>
  <c r="R209" i="11"/>
  <c r="T209" i="11" s="1"/>
  <c r="R203" i="11"/>
  <c r="T203" i="11" s="1"/>
  <c r="R204" i="11"/>
  <c r="T204" i="11" s="1"/>
  <c r="R189" i="11"/>
  <c r="T189" i="11" s="1"/>
  <c r="R206" i="11"/>
  <c r="T206" i="11" s="1"/>
  <c r="R210" i="11"/>
  <c r="T210" i="11" s="1"/>
  <c r="R202" i="11"/>
  <c r="T202" i="11" s="1"/>
  <c r="R195" i="11"/>
  <c r="T195" i="11" s="1"/>
  <c r="R198" i="11"/>
  <c r="T198" i="11" s="1"/>
  <c r="R213" i="11"/>
  <c r="T213" i="11" s="1"/>
  <c r="R190" i="11"/>
  <c r="T190" i="11" s="1"/>
  <c r="R177" i="11"/>
  <c r="T177" i="11" s="1"/>
  <c r="R179" i="11"/>
  <c r="T179" i="11" s="1"/>
  <c r="R185" i="11"/>
  <c r="T185" i="11" s="1"/>
  <c r="R184" i="11"/>
  <c r="T184" i="11" s="1"/>
  <c r="R186" i="11"/>
  <c r="T186" i="11" s="1"/>
  <c r="R181" i="11"/>
  <c r="T181" i="11" s="1"/>
  <c r="R182" i="11"/>
  <c r="T182" i="11" s="1"/>
  <c r="R191" i="11"/>
  <c r="T191" i="11" s="1"/>
  <c r="R194" i="11"/>
  <c r="T194" i="11" s="1"/>
  <c r="R183" i="11"/>
  <c r="T183" i="11" s="1"/>
  <c r="R180" i="11"/>
  <c r="T180" i="11" s="1"/>
  <c r="R188" i="11"/>
  <c r="T188" i="11" s="1"/>
  <c r="R192" i="11"/>
  <c r="T192" i="11" s="1"/>
  <c r="R193" i="11"/>
  <c r="T193" i="11" s="1"/>
  <c r="R178" i="11"/>
  <c r="T178" i="11" s="1"/>
  <c r="R173" i="11"/>
  <c r="T173" i="11" s="1"/>
  <c r="R174" i="11"/>
  <c r="T174" i="11" s="1"/>
  <c r="R169" i="11"/>
  <c r="T169" i="11" s="1"/>
  <c r="R170" i="11"/>
  <c r="T170" i="11" s="1"/>
  <c r="R175" i="11"/>
  <c r="T175" i="11" s="1"/>
  <c r="R164" i="11"/>
  <c r="T164" i="11" s="1"/>
  <c r="R172" i="11"/>
  <c r="T172" i="11" s="1"/>
  <c r="R167" i="11"/>
  <c r="T167" i="11" s="1"/>
  <c r="R168" i="11"/>
  <c r="T168" i="11" s="1"/>
  <c r="R171" i="11"/>
  <c r="T171" i="11" s="1"/>
  <c r="R176" i="11"/>
  <c r="T176" i="11" s="1"/>
  <c r="R152" i="11"/>
  <c r="T152" i="11" s="1"/>
  <c r="R158" i="11"/>
  <c r="T158" i="11" s="1"/>
  <c r="R153" i="11"/>
  <c r="T153" i="11" s="1"/>
  <c r="R160" i="11"/>
  <c r="T160" i="11" s="1"/>
  <c r="R165" i="11"/>
  <c r="T165" i="11" s="1"/>
  <c r="R161" i="11"/>
  <c r="T161" i="11" s="1"/>
  <c r="R156" i="11"/>
  <c r="T156" i="11" s="1"/>
  <c r="R154" i="11"/>
  <c r="T154" i="11" s="1"/>
  <c r="R163" i="11"/>
  <c r="T163" i="11" s="1"/>
  <c r="R151" i="11"/>
  <c r="T151" i="11" s="1"/>
  <c r="R157" i="11"/>
  <c r="T157" i="11" s="1"/>
  <c r="R166" i="11"/>
  <c r="T166" i="11" s="1"/>
  <c r="R155" i="11"/>
  <c r="T155" i="11" s="1"/>
  <c r="R159" i="11"/>
  <c r="T159" i="11" s="1"/>
  <c r="R162" i="11"/>
  <c r="T162" i="11" s="1"/>
  <c r="R121" i="11"/>
  <c r="T121" i="11" s="1"/>
  <c r="R68" i="11"/>
  <c r="T68" i="11" s="1"/>
  <c r="R113" i="11"/>
  <c r="T113" i="11" s="1"/>
  <c r="R59" i="11"/>
  <c r="T59" i="11" s="1"/>
  <c r="R122" i="11"/>
  <c r="T122" i="11" s="1"/>
  <c r="R102" i="11"/>
  <c r="T102" i="11" s="1"/>
  <c r="R90" i="11"/>
  <c r="T90" i="11" s="1"/>
  <c r="R67" i="11"/>
  <c r="T67" i="11" s="1"/>
  <c r="R137" i="11"/>
  <c r="T137" i="11" s="1"/>
  <c r="R99" i="11"/>
  <c r="T99" i="11" s="1"/>
  <c r="R72" i="11"/>
  <c r="T72" i="11" s="1"/>
  <c r="R57" i="11"/>
  <c r="T57" i="11" s="1"/>
  <c r="R62" i="11"/>
  <c r="T62" i="11" s="1"/>
  <c r="R60" i="11"/>
  <c r="T60" i="11" s="1"/>
  <c r="R52" i="11"/>
  <c r="T52" i="11" s="1"/>
  <c r="R107" i="11"/>
  <c r="T107" i="11" s="1"/>
  <c r="R79" i="11"/>
  <c r="T79" i="11" s="1"/>
  <c r="R147" i="11"/>
  <c r="T147" i="11" s="1"/>
  <c r="R100" i="11"/>
  <c r="T100" i="11" s="1"/>
  <c r="R124" i="11"/>
  <c r="T124" i="11" s="1"/>
  <c r="R94" i="11"/>
  <c r="T94" i="11" s="1"/>
  <c r="R91" i="11"/>
  <c r="T91" i="11" s="1"/>
  <c r="R140" i="11"/>
  <c r="T140" i="11" s="1"/>
  <c r="R93" i="11"/>
  <c r="T93" i="11" s="1"/>
  <c r="R106" i="11"/>
  <c r="T106" i="11" s="1"/>
  <c r="R51" i="11"/>
  <c r="T51" i="11" s="1"/>
  <c r="R117" i="11"/>
  <c r="T117" i="11" s="1"/>
  <c r="R139" i="11"/>
  <c r="T139" i="11" s="1"/>
  <c r="R119" i="11"/>
  <c r="T119" i="11" s="1"/>
  <c r="R103" i="11"/>
  <c r="T103" i="11" s="1"/>
  <c r="R61" i="11"/>
  <c r="T61" i="11" s="1"/>
  <c r="R138" i="11"/>
  <c r="T138" i="11" s="1"/>
  <c r="R89" i="11"/>
  <c r="T89" i="11" s="1"/>
  <c r="R135" i="11"/>
  <c r="T135" i="11" s="1"/>
  <c r="R130" i="11"/>
  <c r="T130" i="11" s="1"/>
  <c r="R134" i="11"/>
  <c r="T134" i="11" s="1"/>
  <c r="R110" i="11"/>
  <c r="T110" i="11" s="1"/>
  <c r="R104" i="11"/>
  <c r="T104" i="11" s="1"/>
  <c r="R133" i="11"/>
  <c r="T133" i="11" s="1"/>
  <c r="R88" i="11"/>
  <c r="T88" i="11" s="1"/>
  <c r="R78" i="11"/>
  <c r="T78" i="11" s="1"/>
  <c r="R66" i="11"/>
  <c r="T66" i="11" s="1"/>
  <c r="R76" i="11"/>
  <c r="T76" i="11" s="1"/>
  <c r="R115" i="11"/>
  <c r="T115" i="11" s="1"/>
  <c r="R74" i="11"/>
  <c r="T74" i="11" s="1"/>
  <c r="R149" i="11"/>
  <c r="T149" i="11" s="1"/>
  <c r="R80" i="11"/>
  <c r="T80" i="11" s="1"/>
  <c r="R75" i="11"/>
  <c r="T75" i="11" s="1"/>
  <c r="R95" i="11"/>
  <c r="T95" i="11" s="1"/>
  <c r="R126" i="11"/>
  <c r="T126" i="11" s="1"/>
  <c r="R69" i="11"/>
  <c r="T69" i="11" s="1"/>
  <c r="R112" i="11"/>
  <c r="T112" i="11" s="1"/>
  <c r="R141" i="11"/>
  <c r="T141" i="11" s="1"/>
  <c r="R87" i="11"/>
  <c r="T87" i="11" s="1"/>
  <c r="R111" i="11"/>
  <c r="T111" i="11" s="1"/>
  <c r="R55" i="11"/>
  <c r="T55" i="11" s="1"/>
  <c r="R64" i="11"/>
  <c r="T64" i="11" s="1"/>
  <c r="R109" i="11"/>
  <c r="T109" i="11" s="1"/>
  <c r="R132" i="11"/>
  <c r="T132" i="11" s="1"/>
  <c r="R143" i="11"/>
  <c r="T143" i="11" s="1"/>
  <c r="R85" i="11"/>
  <c r="T85" i="11" s="1"/>
  <c r="R145" i="11"/>
  <c r="T145" i="11" s="1"/>
  <c r="R128" i="11"/>
  <c r="T128" i="11" s="1"/>
  <c r="R108" i="11"/>
  <c r="T108" i="11" s="1"/>
  <c r="R92" i="11"/>
  <c r="T92" i="11" s="1"/>
  <c r="R71" i="11"/>
  <c r="T71" i="11" s="1"/>
  <c r="R97" i="11"/>
  <c r="T97" i="11" s="1"/>
  <c r="R150" i="11"/>
  <c r="T150" i="11" s="1"/>
  <c r="R146" i="11"/>
  <c r="T146" i="11" s="1"/>
  <c r="R105" i="11"/>
  <c r="T105" i="11" s="1"/>
  <c r="R58" i="11"/>
  <c r="T58" i="11" s="1"/>
  <c r="R127" i="11"/>
  <c r="T127" i="11" s="1"/>
  <c r="R114" i="11"/>
  <c r="T114" i="11" s="1"/>
  <c r="R53" i="11"/>
  <c r="T53" i="11" s="1"/>
  <c r="R70" i="11"/>
  <c r="T70" i="11" s="1"/>
  <c r="R84" i="11"/>
  <c r="T84" i="11" s="1"/>
  <c r="R54" i="11"/>
  <c r="T54" i="11" s="1"/>
  <c r="R120" i="11"/>
  <c r="T120" i="11" s="1"/>
  <c r="R96" i="11"/>
  <c r="T96" i="11" s="1"/>
  <c r="R65" i="11"/>
  <c r="T65" i="11" s="1"/>
  <c r="R136" i="11"/>
  <c r="T136" i="11" s="1"/>
  <c r="R131" i="11"/>
  <c r="T131" i="11" s="1"/>
  <c r="R63" i="11"/>
  <c r="T63" i="11" s="1"/>
  <c r="R77" i="11"/>
  <c r="T77" i="11" s="1"/>
  <c r="R116" i="11"/>
  <c r="T116" i="11" s="1"/>
  <c r="R101" i="11"/>
  <c r="T101" i="11" s="1"/>
  <c r="R148" i="11"/>
  <c r="T148" i="11" s="1"/>
  <c r="R56" i="11"/>
  <c r="T56" i="11" s="1"/>
  <c r="R73" i="11"/>
  <c r="T73" i="11" s="1"/>
  <c r="R98" i="11"/>
  <c r="T98" i="11" s="1"/>
  <c r="R125" i="11"/>
  <c r="T125" i="11" s="1"/>
  <c r="R83" i="11"/>
  <c r="T83" i="11" s="1"/>
  <c r="R129" i="11"/>
  <c r="T129" i="11" s="1"/>
  <c r="R142" i="11"/>
  <c r="T142" i="11" s="1"/>
  <c r="R81" i="11"/>
  <c r="T81" i="11" s="1"/>
  <c r="R118" i="11"/>
  <c r="T118" i="11" s="1"/>
  <c r="R86" i="11"/>
  <c r="T86" i="11" s="1"/>
  <c r="R123" i="11"/>
  <c r="T123" i="11" s="1"/>
  <c r="R144" i="11"/>
  <c r="T144" i="11" s="1"/>
  <c r="R4" i="11"/>
  <c r="R3" i="11"/>
  <c r="P3" i="11"/>
  <c r="P4" i="11"/>
  <c r="AB44" i="12"/>
  <c r="AB29" i="12"/>
  <c r="AB41" i="12"/>
  <c r="AB35" i="12"/>
  <c r="AB42" i="12"/>
  <c r="AB21" i="12"/>
  <c r="AB24" i="12"/>
  <c r="AB32" i="12"/>
  <c r="AB31" i="12"/>
  <c r="AB28" i="12"/>
  <c r="AB27" i="12"/>
  <c r="AB40" i="12"/>
  <c r="AB38" i="12"/>
  <c r="AB25" i="12"/>
  <c r="AB34" i="12"/>
  <c r="AB37" i="12"/>
  <c r="AB30" i="12"/>
  <c r="AB39" i="12"/>
  <c r="AB36" i="12"/>
  <c r="AB33" i="12"/>
  <c r="AB22" i="12"/>
  <c r="AB23" i="12"/>
  <c r="AB26" i="12"/>
  <c r="AB43" i="12"/>
  <c r="AA3" i="12"/>
  <c r="AA18" i="12"/>
  <c r="S25" i="8" s="1"/>
  <c r="S24" i="8" s="1"/>
  <c r="S26" i="8" s="1"/>
  <c r="AA4" i="12"/>
  <c r="AB14" i="12"/>
  <c r="AB9" i="12"/>
  <c r="AB10" i="12" s="1"/>
  <c r="AB11" i="12" s="1"/>
  <c r="L83" i="10"/>
  <c r="A85" i="10"/>
  <c r="F84" i="10"/>
  <c r="E84" i="10"/>
  <c r="J84" i="10"/>
  <c r="K84" i="10"/>
  <c r="V6" i="11" l="1"/>
  <c r="R47" i="11"/>
  <c r="T47" i="11" s="1"/>
  <c r="W6" i="11" s="1"/>
  <c r="R39" i="11"/>
  <c r="T39" i="11" s="1"/>
  <c r="R36" i="11"/>
  <c r="T36" i="11" s="1"/>
  <c r="R34" i="11"/>
  <c r="T34" i="11" s="1"/>
  <c r="R33" i="11"/>
  <c r="T33" i="11" s="1"/>
  <c r="R42" i="11"/>
  <c r="T42" i="11" s="1"/>
  <c r="R41" i="11"/>
  <c r="T41" i="11" s="1"/>
  <c r="R43" i="11"/>
  <c r="T43" i="11" s="1"/>
  <c r="R35" i="11"/>
  <c r="T35" i="11" s="1"/>
  <c r="R37" i="11"/>
  <c r="T37" i="11" s="1"/>
  <c r="R44" i="11"/>
  <c r="T44" i="11" s="1"/>
  <c r="R38" i="11"/>
  <c r="T38" i="11" s="1"/>
  <c r="R40" i="11"/>
  <c r="T40" i="11" s="1"/>
  <c r="R29" i="11"/>
  <c r="T29" i="11" s="1"/>
  <c r="R32" i="11"/>
  <c r="T32" i="11" s="1"/>
  <c r="R22" i="11"/>
  <c r="T22" i="11" s="1"/>
  <c r="R24" i="11"/>
  <c r="T24" i="11" s="1"/>
  <c r="R26" i="11"/>
  <c r="T26" i="11" s="1"/>
  <c r="R30" i="11"/>
  <c r="T30" i="11" s="1"/>
  <c r="R27" i="11"/>
  <c r="T27" i="11" s="1"/>
  <c r="R28" i="11"/>
  <c r="T28" i="11" s="1"/>
  <c r="R21" i="11"/>
  <c r="T21" i="11" s="1"/>
  <c r="R23" i="11"/>
  <c r="T23" i="11" s="1"/>
  <c r="R25" i="11"/>
  <c r="T25" i="11" s="1"/>
  <c r="R31" i="11"/>
  <c r="T31" i="11" s="1"/>
  <c r="S27" i="8"/>
  <c r="Z14" i="12"/>
  <c r="Z9" i="12"/>
  <c r="AD11" i="12" s="1"/>
  <c r="AB67" i="12"/>
  <c r="AB62" i="12"/>
  <c r="AB72" i="12"/>
  <c r="AB53" i="12"/>
  <c r="AB70" i="12"/>
  <c r="AB57" i="12"/>
  <c r="AB60" i="12"/>
  <c r="AB55" i="12"/>
  <c r="AB65" i="12"/>
  <c r="AB58" i="12"/>
  <c r="AB68" i="12"/>
  <c r="AB63" i="12"/>
  <c r="AB66" i="12"/>
  <c r="AB52" i="12"/>
  <c r="AB71" i="12"/>
  <c r="AB69" i="12"/>
  <c r="AB74" i="12"/>
  <c r="AB61" i="12"/>
  <c r="AB73" i="12"/>
  <c r="AB51" i="12"/>
  <c r="AB56" i="12"/>
  <c r="AB59" i="12"/>
  <c r="AB54" i="12"/>
  <c r="AB64" i="12"/>
  <c r="L84" i="10"/>
  <c r="A86" i="10"/>
  <c r="F85" i="10"/>
  <c r="E85" i="10"/>
  <c r="J85" i="10"/>
  <c r="K85" i="10"/>
  <c r="Z10" i="12" l="1"/>
  <c r="AD9" i="12" s="1"/>
  <c r="U7" i="11"/>
  <c r="U23" i="11" s="1"/>
  <c r="V23" i="11" s="1"/>
  <c r="U6" i="11"/>
  <c r="AA9" i="12"/>
  <c r="AE11" i="12" s="1"/>
  <c r="AA14" i="12"/>
  <c r="AB16" i="12" s="1"/>
  <c r="S22" i="8" s="1"/>
  <c r="C80" i="13" s="1"/>
  <c r="L85" i="10"/>
  <c r="A87" i="10"/>
  <c r="E86" i="10"/>
  <c r="F86" i="10"/>
  <c r="J86" i="10"/>
  <c r="K86" i="10"/>
  <c r="U43" i="11" l="1"/>
  <c r="V43" i="11" s="1"/>
  <c r="AA10" i="12"/>
  <c r="AE9" i="12" s="1"/>
  <c r="Z11" i="12"/>
  <c r="S19" i="8" s="1"/>
  <c r="AD12" i="12"/>
  <c r="U22" i="11"/>
  <c r="V22" i="11" s="1"/>
  <c r="U26" i="11"/>
  <c r="V26" i="11" s="1"/>
  <c r="U29" i="11"/>
  <c r="V29" i="11" s="1"/>
  <c r="U34" i="11"/>
  <c r="V34" i="11" s="1"/>
  <c r="U38" i="11"/>
  <c r="V38" i="11" s="1"/>
  <c r="U40" i="11"/>
  <c r="V40" i="11" s="1"/>
  <c r="U37" i="11"/>
  <c r="V37" i="11" s="1"/>
  <c r="U27" i="11"/>
  <c r="V27" i="11" s="1"/>
  <c r="U25" i="11"/>
  <c r="V25" i="11" s="1"/>
  <c r="U28" i="11"/>
  <c r="V28" i="11" s="1"/>
  <c r="U21" i="11"/>
  <c r="V21" i="11" s="1"/>
  <c r="U39" i="11"/>
  <c r="V39" i="11" s="1"/>
  <c r="U36" i="11"/>
  <c r="V36" i="11" s="1"/>
  <c r="U42" i="11"/>
  <c r="V42" i="11" s="1"/>
  <c r="U35" i="11"/>
  <c r="V35" i="11" s="1"/>
  <c r="U44" i="11"/>
  <c r="V44" i="11" s="1"/>
  <c r="U41" i="11"/>
  <c r="V41" i="11" s="1"/>
  <c r="U24" i="11"/>
  <c r="V24" i="11" s="1"/>
  <c r="U30" i="11"/>
  <c r="V30" i="11" s="1"/>
  <c r="U32" i="11"/>
  <c r="V32" i="11" s="1"/>
  <c r="U31" i="11"/>
  <c r="V31" i="11" s="1"/>
  <c r="U33" i="11"/>
  <c r="V33" i="11" s="1"/>
  <c r="W7" i="11"/>
  <c r="V7" i="11"/>
  <c r="Z15" i="12"/>
  <c r="Z16" i="12" s="1"/>
  <c r="S21" i="8" s="1"/>
  <c r="C79" i="13" s="1"/>
  <c r="L86" i="10"/>
  <c r="A88" i="10"/>
  <c r="F87" i="10"/>
  <c r="E87" i="10"/>
  <c r="J87" i="10"/>
  <c r="K87" i="10"/>
  <c r="U221" i="11" l="1"/>
  <c r="U243" i="11"/>
  <c r="U225" i="11"/>
  <c r="U242" i="11"/>
  <c r="U245" i="11"/>
  <c r="U238" i="11"/>
  <c r="U216" i="11"/>
  <c r="U247" i="11"/>
  <c r="U233" i="11"/>
  <c r="V233" i="11" s="1"/>
  <c r="U244" i="11"/>
  <c r="V244" i="11" s="1"/>
  <c r="U240" i="11"/>
  <c r="V240" i="11" s="1"/>
  <c r="U227" i="11"/>
  <c r="V227" i="11" s="1"/>
  <c r="U228" i="11"/>
  <c r="V228" i="11" s="1"/>
  <c r="U241" i="11"/>
  <c r="V241" i="11" s="1"/>
  <c r="U239" i="11"/>
  <c r="V239" i="11" s="1"/>
  <c r="U232" i="11"/>
  <c r="V232" i="11" s="1"/>
  <c r="U237" i="11"/>
  <c r="U246" i="11"/>
  <c r="U211" i="11"/>
  <c r="U248" i="11"/>
  <c r="U220" i="11"/>
  <c r="V220" i="11" s="1"/>
  <c r="U249" i="11"/>
  <c r="V249" i="11" s="1"/>
  <c r="U226" i="11"/>
  <c r="V226" i="11" s="1"/>
  <c r="U236" i="11"/>
  <c r="V236" i="11" s="1"/>
  <c r="U223" i="11"/>
  <c r="U224" i="11"/>
  <c r="U235" i="11"/>
  <c r="U209" i="11"/>
  <c r="U193" i="11"/>
  <c r="V193" i="11" s="1"/>
  <c r="U191" i="11"/>
  <c r="V191" i="11" s="1"/>
  <c r="U214" i="11"/>
  <c r="V214" i="11" s="1"/>
  <c r="U198" i="11"/>
  <c r="V198" i="11" s="1"/>
  <c r="U204" i="11"/>
  <c r="V204" i="11" s="1"/>
  <c r="U186" i="11"/>
  <c r="V186" i="11" s="1"/>
  <c r="U231" i="11"/>
  <c r="V231" i="11" s="1"/>
  <c r="U222" i="11"/>
  <c r="V222" i="11" s="1"/>
  <c r="U208" i="11"/>
  <c r="U192" i="11"/>
  <c r="U203" i="11"/>
  <c r="U230" i="11"/>
  <c r="U195" i="11"/>
  <c r="U215" i="11"/>
  <c r="U187" i="11"/>
  <c r="U219" i="11"/>
  <c r="U212" i="11"/>
  <c r="V212" i="11" s="1"/>
  <c r="U188" i="11"/>
  <c r="V188" i="11" s="1"/>
  <c r="U207" i="11"/>
  <c r="V207" i="11" s="1"/>
  <c r="U202" i="11"/>
  <c r="V202" i="11" s="1"/>
  <c r="U201" i="11"/>
  <c r="U229" i="11"/>
  <c r="U189" i="11"/>
  <c r="U196" i="11"/>
  <c r="U210" i="11"/>
  <c r="U205" i="11"/>
  <c r="U218" i="11"/>
  <c r="U217" i="11"/>
  <c r="U200" i="11"/>
  <c r="V200" i="11" s="1"/>
  <c r="U206" i="11"/>
  <c r="V206" i="11" s="1"/>
  <c r="U190" i="11"/>
  <c r="V190" i="11" s="1"/>
  <c r="U234" i="11"/>
  <c r="V234" i="11" s="1"/>
  <c r="U199" i="11"/>
  <c r="U194" i="11"/>
  <c r="V194" i="11" s="1"/>
  <c r="U213" i="11"/>
  <c r="V213" i="11" s="1"/>
  <c r="U197" i="11"/>
  <c r="V197" i="11" s="1"/>
  <c r="U182" i="11"/>
  <c r="V182" i="11" s="1"/>
  <c r="U183" i="11"/>
  <c r="V183" i="11" s="1"/>
  <c r="U185" i="11"/>
  <c r="V185" i="11" s="1"/>
  <c r="U181" i="11"/>
  <c r="V181" i="11" s="1"/>
  <c r="U184" i="11"/>
  <c r="V184" i="11" s="1"/>
  <c r="U173" i="11"/>
  <c r="V173" i="11" s="1"/>
  <c r="U174" i="11"/>
  <c r="V174" i="11" s="1"/>
  <c r="U175" i="11"/>
  <c r="V175" i="11" s="1"/>
  <c r="U163" i="11"/>
  <c r="V163" i="11" s="1"/>
  <c r="U155" i="11"/>
  <c r="V155" i="11" s="1"/>
  <c r="U167" i="11"/>
  <c r="V167" i="11" s="1"/>
  <c r="U161" i="11"/>
  <c r="V161" i="11" s="1"/>
  <c r="U179" i="11"/>
  <c r="V179" i="11" s="1"/>
  <c r="U154" i="11"/>
  <c r="V154" i="11" s="1"/>
  <c r="U151" i="11"/>
  <c r="V151" i="11" s="1"/>
  <c r="U153" i="11"/>
  <c r="V153" i="11" s="1"/>
  <c r="U166" i="11"/>
  <c r="V166" i="11" s="1"/>
  <c r="U152" i="11"/>
  <c r="V152" i="11" s="1"/>
  <c r="U176" i="11"/>
  <c r="V176" i="11" s="1"/>
  <c r="U159" i="11"/>
  <c r="V159" i="11" s="1"/>
  <c r="U160" i="11"/>
  <c r="V160" i="11" s="1"/>
  <c r="U156" i="11"/>
  <c r="V156" i="11" s="1"/>
  <c r="U168" i="11"/>
  <c r="V168" i="11" s="1"/>
  <c r="U170" i="11"/>
  <c r="V170" i="11" s="1"/>
  <c r="U162" i="11"/>
  <c r="V162" i="11" s="1"/>
  <c r="U164" i="11"/>
  <c r="V164" i="11" s="1"/>
  <c r="U165" i="11"/>
  <c r="V165" i="11" s="1"/>
  <c r="U169" i="11"/>
  <c r="V169" i="11" s="1"/>
  <c r="U171" i="11"/>
  <c r="V171" i="11" s="1"/>
  <c r="U177" i="11"/>
  <c r="V177" i="11" s="1"/>
  <c r="U180" i="11"/>
  <c r="V180" i="11" s="1"/>
  <c r="U172" i="11"/>
  <c r="V172" i="11" s="1"/>
  <c r="U157" i="11"/>
  <c r="V157" i="11" s="1"/>
  <c r="U178" i="11"/>
  <c r="V178" i="11" s="1"/>
  <c r="U158" i="11"/>
  <c r="V158" i="11" s="1"/>
  <c r="C77" i="13"/>
  <c r="B77" i="13"/>
  <c r="AA11" i="12"/>
  <c r="S20" i="8" s="1"/>
  <c r="AE12" i="12"/>
  <c r="U2" i="11"/>
  <c r="U4" i="11" s="1"/>
  <c r="U82" i="11"/>
  <c r="V82" i="11" s="1"/>
  <c r="U128" i="11"/>
  <c r="V128" i="11" s="1"/>
  <c r="U62" i="11"/>
  <c r="V62" i="11" s="1"/>
  <c r="U127" i="11"/>
  <c r="V127" i="11" s="1"/>
  <c r="U96" i="11"/>
  <c r="V96" i="11" s="1"/>
  <c r="U64" i="11"/>
  <c r="V64" i="11" s="1"/>
  <c r="U142" i="11"/>
  <c r="V142" i="11" s="1"/>
  <c r="U54" i="11"/>
  <c r="V54" i="11" s="1"/>
  <c r="U100" i="11"/>
  <c r="V100" i="11" s="1"/>
  <c r="U61" i="11"/>
  <c r="V61" i="11" s="1"/>
  <c r="U139" i="11"/>
  <c r="V139" i="11" s="1"/>
  <c r="U89" i="11"/>
  <c r="V89" i="11" s="1"/>
  <c r="U78" i="11"/>
  <c r="V78" i="11" s="1"/>
  <c r="U146" i="11"/>
  <c r="V146" i="11" s="1"/>
  <c r="U79" i="11"/>
  <c r="V79" i="11" s="1"/>
  <c r="U133" i="11"/>
  <c r="V133" i="11" s="1"/>
  <c r="U108" i="11"/>
  <c r="V108" i="11" s="1"/>
  <c r="U113" i="11"/>
  <c r="V113" i="11" s="1"/>
  <c r="U114" i="11"/>
  <c r="V114" i="11" s="1"/>
  <c r="U65" i="11"/>
  <c r="V65" i="11" s="1"/>
  <c r="U116" i="11"/>
  <c r="V116" i="11" s="1"/>
  <c r="U81" i="11"/>
  <c r="V81" i="11" s="1"/>
  <c r="U67" i="11"/>
  <c r="V67" i="11" s="1"/>
  <c r="U59" i="11"/>
  <c r="V59" i="11" s="1"/>
  <c r="U138" i="11"/>
  <c r="V138" i="11" s="1"/>
  <c r="U107" i="11"/>
  <c r="V107" i="11" s="1"/>
  <c r="U135" i="11"/>
  <c r="V135" i="11" s="1"/>
  <c r="U66" i="11"/>
  <c r="V66" i="11" s="1"/>
  <c r="U85" i="11"/>
  <c r="V85" i="11" s="1"/>
  <c r="U83" i="11"/>
  <c r="V83" i="11" s="1"/>
  <c r="U51" i="11"/>
  <c r="V51" i="11" s="1"/>
  <c r="U75" i="11"/>
  <c r="V75" i="11" s="1"/>
  <c r="U92" i="11"/>
  <c r="V92" i="11" s="1"/>
  <c r="U90" i="11"/>
  <c r="V90" i="11" s="1"/>
  <c r="U53" i="11"/>
  <c r="V53" i="11" s="1"/>
  <c r="U136" i="11"/>
  <c r="V136" i="11" s="1"/>
  <c r="U56" i="11"/>
  <c r="V56" i="11" s="1"/>
  <c r="U118" i="11"/>
  <c r="V118" i="11" s="1"/>
  <c r="U99" i="11"/>
  <c r="V99" i="11" s="1"/>
  <c r="U57" i="11"/>
  <c r="V57" i="11" s="1"/>
  <c r="U91" i="11"/>
  <c r="V91" i="11" s="1"/>
  <c r="U80" i="11"/>
  <c r="V80" i="11" s="1"/>
  <c r="U130" i="11"/>
  <c r="V130" i="11" s="1"/>
  <c r="U76" i="11"/>
  <c r="V76" i="11" s="1"/>
  <c r="U105" i="11"/>
  <c r="V105" i="11" s="1"/>
  <c r="U141" i="11"/>
  <c r="V141" i="11" s="1"/>
  <c r="U124" i="11"/>
  <c r="V124" i="11" s="1"/>
  <c r="U109" i="11"/>
  <c r="V109" i="11" s="1"/>
  <c r="U71" i="11"/>
  <c r="V71" i="11" s="1"/>
  <c r="U137" i="11"/>
  <c r="V137" i="11" s="1"/>
  <c r="U87" i="11"/>
  <c r="V87" i="11" s="1"/>
  <c r="U131" i="11"/>
  <c r="V131" i="11" s="1"/>
  <c r="U73" i="11"/>
  <c r="V73" i="11" s="1"/>
  <c r="U86" i="11"/>
  <c r="V86" i="11" s="1"/>
  <c r="U52" i="11"/>
  <c r="V52" i="11" s="1"/>
  <c r="U144" i="11"/>
  <c r="V144" i="11" s="1"/>
  <c r="U140" i="11"/>
  <c r="V140" i="11" s="1"/>
  <c r="U112" i="11"/>
  <c r="V112" i="11" s="1"/>
  <c r="U134" i="11"/>
  <c r="V134" i="11" s="1"/>
  <c r="U115" i="11"/>
  <c r="V115" i="11" s="1"/>
  <c r="U110" i="11"/>
  <c r="V110" i="11" s="1"/>
  <c r="U132" i="11"/>
  <c r="V132" i="11" s="1"/>
  <c r="U97" i="11"/>
  <c r="V97" i="11" s="1"/>
  <c r="U60" i="11"/>
  <c r="V60" i="11" s="1"/>
  <c r="U55" i="11"/>
  <c r="V55" i="11" s="1"/>
  <c r="U63" i="11"/>
  <c r="V63" i="11" s="1"/>
  <c r="U98" i="11"/>
  <c r="V98" i="11" s="1"/>
  <c r="U123" i="11"/>
  <c r="V123" i="11" s="1"/>
  <c r="U102" i="11"/>
  <c r="V102" i="11" s="1"/>
  <c r="U95" i="11"/>
  <c r="V95" i="11" s="1"/>
  <c r="U93" i="11"/>
  <c r="V93" i="11" s="1"/>
  <c r="U122" i="11"/>
  <c r="V122" i="11" s="1"/>
  <c r="U119" i="11"/>
  <c r="V119" i="11" s="1"/>
  <c r="U120" i="11"/>
  <c r="V120" i="11" s="1"/>
  <c r="U149" i="11"/>
  <c r="V149" i="11" s="1"/>
  <c r="U101" i="11"/>
  <c r="V101" i="11" s="1"/>
  <c r="U143" i="11"/>
  <c r="V143" i="11" s="1"/>
  <c r="U150" i="11"/>
  <c r="V150" i="11" s="1"/>
  <c r="U121" i="11"/>
  <c r="V121" i="11" s="1"/>
  <c r="U84" i="11"/>
  <c r="V84" i="11" s="1"/>
  <c r="U70" i="11"/>
  <c r="V70" i="11" s="1"/>
  <c r="U125" i="11"/>
  <c r="V125" i="11" s="1"/>
  <c r="U77" i="11"/>
  <c r="V77" i="11" s="1"/>
  <c r="U72" i="11"/>
  <c r="V72" i="11" s="1"/>
  <c r="U111" i="11"/>
  <c r="V111" i="11" s="1"/>
  <c r="U106" i="11"/>
  <c r="V106" i="11" s="1"/>
  <c r="U103" i="11"/>
  <c r="V103" i="11" s="1"/>
  <c r="U104" i="11"/>
  <c r="V104" i="11" s="1"/>
  <c r="U145" i="11"/>
  <c r="V145" i="11" s="1"/>
  <c r="U126" i="11"/>
  <c r="V126" i="11" s="1"/>
  <c r="U58" i="11"/>
  <c r="V58" i="11" s="1"/>
  <c r="U148" i="11"/>
  <c r="V148" i="11" s="1"/>
  <c r="U69" i="11"/>
  <c r="V69" i="11" s="1"/>
  <c r="U129" i="11"/>
  <c r="V129" i="11" s="1"/>
  <c r="U74" i="11"/>
  <c r="V74" i="11" s="1"/>
  <c r="U147" i="11"/>
  <c r="V147" i="11" s="1"/>
  <c r="U68" i="11"/>
  <c r="V68" i="11" s="1"/>
  <c r="U117" i="11"/>
  <c r="V117" i="11" s="1"/>
  <c r="U94" i="11"/>
  <c r="V94" i="11" s="1"/>
  <c r="U88" i="11"/>
  <c r="V88" i="11" s="1"/>
  <c r="U47" i="11"/>
  <c r="V47" i="11" s="1"/>
  <c r="W2" i="11" s="1"/>
  <c r="V201" i="11"/>
  <c r="V218" i="11"/>
  <c r="V216" i="11"/>
  <c r="V208" i="11"/>
  <c r="V187" i="11"/>
  <c r="V246" i="11"/>
  <c r="V224" i="11"/>
  <c r="V245" i="11"/>
  <c r="V209" i="11"/>
  <c r="V238" i="11"/>
  <c r="V237" i="11"/>
  <c r="V223" i="11"/>
  <c r="V195" i="11"/>
  <c r="V196" i="11"/>
  <c r="V192" i="11"/>
  <c r="V205" i="11"/>
  <c r="V229" i="11"/>
  <c r="V217" i="11"/>
  <c r="V247" i="11"/>
  <c r="V225" i="11"/>
  <c r="V199" i="11"/>
  <c r="V230" i="11"/>
  <c r="V243" i="11"/>
  <c r="V215" i="11"/>
  <c r="V235" i="11"/>
  <c r="V211" i="11"/>
  <c r="V203" i="11"/>
  <c r="V189" i="11"/>
  <c r="V248" i="11"/>
  <c r="V242" i="11"/>
  <c r="V219" i="11"/>
  <c r="V221" i="11"/>
  <c r="V210" i="11"/>
  <c r="L87" i="10"/>
  <c r="A89" i="10"/>
  <c r="F88" i="10"/>
  <c r="E88" i="10"/>
  <c r="J88" i="10"/>
  <c r="K88" i="10"/>
  <c r="C78" i="13" l="1"/>
  <c r="C81" i="13" s="1"/>
  <c r="P33" i="8" s="1"/>
  <c r="B78" i="13"/>
  <c r="U3" i="11"/>
  <c r="W35" i="11" s="1"/>
  <c r="Y35" i="11" s="1"/>
  <c r="W4" i="11"/>
  <c r="W3" i="11"/>
  <c r="V2" i="11"/>
  <c r="L88" i="10"/>
  <c r="A90" i="10"/>
  <c r="F89" i="10"/>
  <c r="E89" i="10"/>
  <c r="J89" i="10"/>
  <c r="K89" i="10"/>
  <c r="W47" i="11" l="1"/>
  <c r="Y47" i="11" s="1"/>
  <c r="AB6" i="11" s="1"/>
  <c r="W42" i="11"/>
  <c r="Y42" i="11" s="1"/>
  <c r="W25" i="11"/>
  <c r="Y25" i="11" s="1"/>
  <c r="W28" i="11"/>
  <c r="Y28" i="11" s="1"/>
  <c r="W26" i="11"/>
  <c r="Y26" i="11" s="1"/>
  <c r="W24" i="11"/>
  <c r="Y24" i="11" s="1"/>
  <c r="W30" i="11"/>
  <c r="Y30" i="11" s="1"/>
  <c r="W31" i="11"/>
  <c r="Y31" i="11" s="1"/>
  <c r="W29" i="11"/>
  <c r="Y29" i="11" s="1"/>
  <c r="W38" i="11"/>
  <c r="Y38" i="11" s="1"/>
  <c r="W40" i="11"/>
  <c r="Y40" i="11" s="1"/>
  <c r="W34" i="11"/>
  <c r="Y34" i="11" s="1"/>
  <c r="W43" i="11"/>
  <c r="Y43" i="11" s="1"/>
  <c r="W37" i="11"/>
  <c r="Y37" i="11" s="1"/>
  <c r="W27" i="11"/>
  <c r="Y27" i="11" s="1"/>
  <c r="W21" i="11"/>
  <c r="Y21" i="11" s="1"/>
  <c r="W36" i="11"/>
  <c r="Y36" i="11" s="1"/>
  <c r="W32" i="11"/>
  <c r="Y32" i="11" s="1"/>
  <c r="W39" i="11"/>
  <c r="Y39" i="11" s="1"/>
  <c r="W22" i="11"/>
  <c r="Y22" i="11" s="1"/>
  <c r="W41" i="11"/>
  <c r="Y41" i="11" s="1"/>
  <c r="W44" i="11"/>
  <c r="Y44" i="11" s="1"/>
  <c r="W33" i="11"/>
  <c r="Y33" i="11" s="1"/>
  <c r="W23" i="11"/>
  <c r="Y23" i="11" s="1"/>
  <c r="V4" i="11"/>
  <c r="V3" i="11"/>
  <c r="L89" i="10"/>
  <c r="F90" i="10"/>
  <c r="A91" i="10"/>
  <c r="E90" i="10"/>
  <c r="J90" i="10"/>
  <c r="K90" i="10"/>
  <c r="Z6" i="11" l="1"/>
  <c r="AA7" i="11" s="1"/>
  <c r="W176" i="11"/>
  <c r="Y176" i="11" s="1"/>
  <c r="W184" i="11"/>
  <c r="Y184" i="11" s="1"/>
  <c r="W192" i="11"/>
  <c r="Y192" i="11" s="1"/>
  <c r="W200" i="11"/>
  <c r="Y200" i="11" s="1"/>
  <c r="W208" i="11"/>
  <c r="Y208" i="11" s="1"/>
  <c r="W216" i="11"/>
  <c r="Y216" i="11" s="1"/>
  <c r="W224" i="11"/>
  <c r="Y224" i="11" s="1"/>
  <c r="W232" i="11"/>
  <c r="Y232" i="11" s="1"/>
  <c r="W240" i="11"/>
  <c r="Y240" i="11" s="1"/>
  <c r="W248" i="11"/>
  <c r="Y248" i="11" s="1"/>
  <c r="W157" i="11"/>
  <c r="Y157" i="11" s="1"/>
  <c r="W170" i="11"/>
  <c r="Y170" i="11" s="1"/>
  <c r="W249" i="11"/>
  <c r="Y249" i="11" s="1"/>
  <c r="W163" i="11"/>
  <c r="Y163" i="11" s="1"/>
  <c r="W168" i="11"/>
  <c r="Y168" i="11" s="1"/>
  <c r="W177" i="11"/>
  <c r="Y177" i="11" s="1"/>
  <c r="W185" i="11"/>
  <c r="Y185" i="11" s="1"/>
  <c r="W193" i="11"/>
  <c r="Y193" i="11" s="1"/>
  <c r="W201" i="11"/>
  <c r="Y201" i="11" s="1"/>
  <c r="W209" i="11"/>
  <c r="Y209" i="11" s="1"/>
  <c r="W217" i="11"/>
  <c r="Y217" i="11" s="1"/>
  <c r="W225" i="11"/>
  <c r="Y225" i="11" s="1"/>
  <c r="W233" i="11"/>
  <c r="Y233" i="11" s="1"/>
  <c r="W241" i="11"/>
  <c r="Y241" i="11" s="1"/>
  <c r="W165" i="11"/>
  <c r="Y165" i="11" s="1"/>
  <c r="W190" i="11"/>
  <c r="Y190" i="11" s="1"/>
  <c r="W161" i="11"/>
  <c r="Y161" i="11" s="1"/>
  <c r="W178" i="11"/>
  <c r="Y178" i="11" s="1"/>
  <c r="W186" i="11"/>
  <c r="Y186" i="11" s="1"/>
  <c r="W194" i="11"/>
  <c r="Y194" i="11" s="1"/>
  <c r="W202" i="11"/>
  <c r="Y202" i="11" s="1"/>
  <c r="W210" i="11"/>
  <c r="Y210" i="11" s="1"/>
  <c r="W218" i="11"/>
  <c r="Y218" i="11" s="1"/>
  <c r="W226" i="11"/>
  <c r="Y226" i="11" s="1"/>
  <c r="W234" i="11"/>
  <c r="Y234" i="11" s="1"/>
  <c r="Z234" i="11" s="1"/>
  <c r="W242" i="11"/>
  <c r="Y242" i="11" s="1"/>
  <c r="W156" i="11"/>
  <c r="Y156" i="11" s="1"/>
  <c r="W166" i="11"/>
  <c r="Y166" i="11" s="1"/>
  <c r="W169" i="11"/>
  <c r="Y169" i="11" s="1"/>
  <c r="W235" i="11"/>
  <c r="Y235" i="11" s="1"/>
  <c r="W164" i="11"/>
  <c r="Y164" i="11" s="1"/>
  <c r="W162" i="11"/>
  <c r="Y162" i="11" s="1"/>
  <c r="W174" i="11"/>
  <c r="Y174" i="11" s="1"/>
  <c r="W206" i="11"/>
  <c r="Y206" i="11" s="1"/>
  <c r="W230" i="11"/>
  <c r="Y230" i="11" s="1"/>
  <c r="W171" i="11"/>
  <c r="Y171" i="11" s="1"/>
  <c r="W179" i="11"/>
  <c r="Y179" i="11" s="1"/>
  <c r="W187" i="11"/>
  <c r="Y187" i="11" s="1"/>
  <c r="W195" i="11"/>
  <c r="Y195" i="11" s="1"/>
  <c r="W203" i="11"/>
  <c r="Y203" i="11" s="1"/>
  <c r="W211" i="11"/>
  <c r="Y211" i="11" s="1"/>
  <c r="W219" i="11"/>
  <c r="Y219" i="11" s="1"/>
  <c r="W227" i="11"/>
  <c r="Y227" i="11" s="1"/>
  <c r="W243" i="11"/>
  <c r="Y243" i="11" s="1"/>
  <c r="W167" i="11"/>
  <c r="Y167" i="11" s="1"/>
  <c r="W172" i="11"/>
  <c r="Y172" i="11" s="1"/>
  <c r="W180" i="11"/>
  <c r="Y180" i="11" s="1"/>
  <c r="W188" i="11"/>
  <c r="Y188" i="11" s="1"/>
  <c r="W196" i="11"/>
  <c r="Y196" i="11" s="1"/>
  <c r="W204" i="11"/>
  <c r="Y204" i="11" s="1"/>
  <c r="W212" i="11"/>
  <c r="Y212" i="11" s="1"/>
  <c r="W220" i="11"/>
  <c r="Y220" i="11" s="1"/>
  <c r="W228" i="11"/>
  <c r="Y228" i="11" s="1"/>
  <c r="W236" i="11"/>
  <c r="Y236" i="11" s="1"/>
  <c r="W244" i="11"/>
  <c r="Y244" i="11" s="1"/>
  <c r="W158" i="11"/>
  <c r="Y158" i="11" s="1"/>
  <c r="W152" i="11"/>
  <c r="Y152" i="11" s="1"/>
  <c r="W182" i="11"/>
  <c r="Y182" i="11" s="1"/>
  <c r="W214" i="11"/>
  <c r="Y214" i="11" s="1"/>
  <c r="W238" i="11"/>
  <c r="Y238" i="11" s="1"/>
  <c r="W173" i="11"/>
  <c r="Y173" i="11" s="1"/>
  <c r="W181" i="11"/>
  <c r="Y181" i="11" s="1"/>
  <c r="W189" i="11"/>
  <c r="Y189" i="11" s="1"/>
  <c r="W197" i="11"/>
  <c r="Y197" i="11" s="1"/>
  <c r="W205" i="11"/>
  <c r="Y205" i="11" s="1"/>
  <c r="W213" i="11"/>
  <c r="Y213" i="11" s="1"/>
  <c r="W221" i="11"/>
  <c r="Y221" i="11" s="1"/>
  <c r="W229" i="11"/>
  <c r="Y229" i="11" s="1"/>
  <c r="W237" i="11"/>
  <c r="Y237" i="11" s="1"/>
  <c r="W245" i="11"/>
  <c r="Y245" i="11" s="1"/>
  <c r="W151" i="11"/>
  <c r="Y151" i="11" s="1"/>
  <c r="W159" i="11"/>
  <c r="Y159" i="11" s="1"/>
  <c r="W155" i="11"/>
  <c r="Y155" i="11" s="1"/>
  <c r="W222" i="11"/>
  <c r="Y222" i="11" s="1"/>
  <c r="W160" i="11"/>
  <c r="Y160" i="11" s="1"/>
  <c r="W175" i="11"/>
  <c r="Y175" i="11" s="1"/>
  <c r="W183" i="11"/>
  <c r="Y183" i="11" s="1"/>
  <c r="W191" i="11"/>
  <c r="Y191" i="11" s="1"/>
  <c r="W199" i="11"/>
  <c r="Y199" i="11" s="1"/>
  <c r="W207" i="11"/>
  <c r="Y207" i="11" s="1"/>
  <c r="W215" i="11"/>
  <c r="Y215" i="11" s="1"/>
  <c r="W223" i="11"/>
  <c r="Y223" i="11" s="1"/>
  <c r="W231" i="11"/>
  <c r="Y231" i="11" s="1"/>
  <c r="W239" i="11"/>
  <c r="Y239" i="11" s="1"/>
  <c r="W247" i="11"/>
  <c r="Y247" i="11" s="1"/>
  <c r="W154" i="11"/>
  <c r="Y154" i="11" s="1"/>
  <c r="W153" i="11"/>
  <c r="Y153" i="11" s="1"/>
  <c r="W198" i="11"/>
  <c r="Y198" i="11" s="1"/>
  <c r="W246" i="11"/>
  <c r="Y246" i="11" s="1"/>
  <c r="W84" i="11"/>
  <c r="Y84" i="11" s="1"/>
  <c r="W148" i="11"/>
  <c r="Y148" i="11" s="1"/>
  <c r="W144" i="11"/>
  <c r="Y144" i="11" s="1"/>
  <c r="W69" i="11"/>
  <c r="Y69" i="11" s="1"/>
  <c r="W133" i="11"/>
  <c r="Y133" i="11" s="1"/>
  <c r="W111" i="11"/>
  <c r="Y111" i="11" s="1"/>
  <c r="W54" i="11"/>
  <c r="Y54" i="11" s="1"/>
  <c r="W118" i="11"/>
  <c r="Y118" i="11" s="1"/>
  <c r="W79" i="11"/>
  <c r="Y79" i="11" s="1"/>
  <c r="W147" i="11"/>
  <c r="Y147" i="11" s="1"/>
  <c r="W112" i="11"/>
  <c r="Y112" i="11" s="1"/>
  <c r="W59" i="11"/>
  <c r="Y59" i="11" s="1"/>
  <c r="W97" i="11"/>
  <c r="Y97" i="11" s="1"/>
  <c r="W90" i="11"/>
  <c r="Y90" i="11" s="1"/>
  <c r="W142" i="11"/>
  <c r="Y142" i="11" s="1"/>
  <c r="W87" i="11"/>
  <c r="Y87" i="11" s="1"/>
  <c r="W120" i="11"/>
  <c r="Y120" i="11" s="1"/>
  <c r="W107" i="11"/>
  <c r="Y107" i="11" s="1"/>
  <c r="W130" i="11"/>
  <c r="Y130" i="11" s="1"/>
  <c r="W128" i="11"/>
  <c r="Y128" i="11" s="1"/>
  <c r="W113" i="11"/>
  <c r="Y113" i="11" s="1"/>
  <c r="W127" i="11"/>
  <c r="Y127" i="11" s="1"/>
  <c r="W57" i="11"/>
  <c r="Y57" i="11" s="1"/>
  <c r="W110" i="11"/>
  <c r="Y110" i="11" s="1"/>
  <c r="W104" i="11"/>
  <c r="Y104" i="11" s="1"/>
  <c r="W92" i="11"/>
  <c r="Y92" i="11" s="1"/>
  <c r="W77" i="11"/>
  <c r="Y77" i="11" s="1"/>
  <c r="W141" i="11"/>
  <c r="Y141" i="11" s="1"/>
  <c r="W143" i="11"/>
  <c r="Y143" i="11" s="1"/>
  <c r="W62" i="11"/>
  <c r="Y62" i="11" s="1"/>
  <c r="W51" i="11"/>
  <c r="Y51" i="11" s="1"/>
  <c r="W56" i="11"/>
  <c r="Y56" i="11" s="1"/>
  <c r="W105" i="11"/>
  <c r="Y105" i="11" s="1"/>
  <c r="W67" i="11"/>
  <c r="Y67" i="11" s="1"/>
  <c r="W136" i="11"/>
  <c r="Y136" i="11" s="1"/>
  <c r="W123" i="11"/>
  <c r="Y123" i="11" s="1"/>
  <c r="W100" i="11"/>
  <c r="Y100" i="11" s="1"/>
  <c r="W106" i="11"/>
  <c r="Y106" i="11" s="1"/>
  <c r="W85" i="11"/>
  <c r="Y85" i="11" s="1"/>
  <c r="W149" i="11"/>
  <c r="Y149" i="11" s="1"/>
  <c r="W70" i="11"/>
  <c r="Y70" i="11" s="1"/>
  <c r="W135" i="11"/>
  <c r="Y135" i="11" s="1"/>
  <c r="W83" i="11"/>
  <c r="Y83" i="11" s="1"/>
  <c r="W95" i="11"/>
  <c r="Y95" i="11" s="1"/>
  <c r="W64" i="11"/>
  <c r="Y64" i="11" s="1"/>
  <c r="W75" i="11"/>
  <c r="Y75" i="11" s="1"/>
  <c r="W108" i="11"/>
  <c r="Y108" i="11" s="1"/>
  <c r="W134" i="11"/>
  <c r="Y134" i="11" s="1"/>
  <c r="W93" i="11"/>
  <c r="Y93" i="11" s="1"/>
  <c r="W78" i="11"/>
  <c r="Y78" i="11" s="1"/>
  <c r="W115" i="11"/>
  <c r="Y115" i="11" s="1"/>
  <c r="W72" i="11"/>
  <c r="Y72" i="11" s="1"/>
  <c r="W121" i="11"/>
  <c r="Y121" i="11" s="1"/>
  <c r="W89" i="11"/>
  <c r="Y89" i="11" s="1"/>
  <c r="W52" i="11"/>
  <c r="Y52" i="11" s="1"/>
  <c r="W116" i="11"/>
  <c r="Y116" i="11" s="1"/>
  <c r="W91" i="11"/>
  <c r="Y91" i="11" s="1"/>
  <c r="W101" i="11"/>
  <c r="Y101" i="11" s="1"/>
  <c r="W74" i="11"/>
  <c r="Y74" i="11" s="1"/>
  <c r="W86" i="11"/>
  <c r="Y86" i="11" s="1"/>
  <c r="W80" i="11"/>
  <c r="Y80" i="11" s="1"/>
  <c r="W65" i="11"/>
  <c r="Y65" i="11" s="1"/>
  <c r="W129" i="11"/>
  <c r="Y129" i="11" s="1"/>
  <c r="W125" i="11"/>
  <c r="Y125" i="11" s="1"/>
  <c r="W122" i="11"/>
  <c r="Y122" i="11" s="1"/>
  <c r="W146" i="11"/>
  <c r="Y146" i="11" s="1"/>
  <c r="W60" i="11"/>
  <c r="Y60" i="11" s="1"/>
  <c r="W124" i="11"/>
  <c r="Y124" i="11" s="1"/>
  <c r="W103" i="11"/>
  <c r="Y103" i="11" s="1"/>
  <c r="W131" i="11"/>
  <c r="Y131" i="11" s="1"/>
  <c r="W109" i="11"/>
  <c r="Y109" i="11" s="1"/>
  <c r="W126" i="11"/>
  <c r="Y126" i="11" s="1"/>
  <c r="W138" i="11"/>
  <c r="Y138" i="11" s="1"/>
  <c r="W94" i="11"/>
  <c r="Y94" i="11" s="1"/>
  <c r="W55" i="11"/>
  <c r="Y55" i="11" s="1"/>
  <c r="W98" i="11"/>
  <c r="Y98" i="11" s="1"/>
  <c r="W88" i="11"/>
  <c r="Y88" i="11" s="1"/>
  <c r="W66" i="11"/>
  <c r="Y66" i="11" s="1"/>
  <c r="W73" i="11"/>
  <c r="Y73" i="11" s="1"/>
  <c r="W137" i="11"/>
  <c r="Y137" i="11" s="1"/>
  <c r="W145" i="11"/>
  <c r="Y145" i="11" s="1"/>
  <c r="W140" i="11"/>
  <c r="Y140" i="11" s="1"/>
  <c r="W139" i="11"/>
  <c r="Y139" i="11" s="1"/>
  <c r="W71" i="11"/>
  <c r="Y71" i="11" s="1"/>
  <c r="W58" i="11"/>
  <c r="Y58" i="11" s="1"/>
  <c r="W68" i="11"/>
  <c r="Y68" i="11" s="1"/>
  <c r="W132" i="11"/>
  <c r="Y132" i="11" s="1"/>
  <c r="W119" i="11"/>
  <c r="Y119" i="11" s="1"/>
  <c r="W53" i="11"/>
  <c r="Y53" i="11" s="1"/>
  <c r="W117" i="11"/>
  <c r="Y117" i="11" s="1"/>
  <c r="W150" i="11"/>
  <c r="Y150" i="11" s="1"/>
  <c r="W99" i="11"/>
  <c r="Y99" i="11" s="1"/>
  <c r="W102" i="11"/>
  <c r="Y102" i="11" s="1"/>
  <c r="W82" i="11"/>
  <c r="Y82" i="11" s="1"/>
  <c r="W63" i="11"/>
  <c r="Y63" i="11" s="1"/>
  <c r="W96" i="11"/>
  <c r="Y96" i="11" s="1"/>
  <c r="W114" i="11"/>
  <c r="Y114" i="11" s="1"/>
  <c r="W81" i="11"/>
  <c r="Y81" i="11" s="1"/>
  <c r="W76" i="11"/>
  <c r="Y76" i="11" s="1"/>
  <c r="W61" i="11"/>
  <c r="Y61" i="11" s="1"/>
  <c r="L90" i="10"/>
  <c r="A92" i="10"/>
  <c r="F91" i="10"/>
  <c r="E91" i="10"/>
  <c r="K91" i="10"/>
  <c r="J91" i="10"/>
  <c r="AA234" i="11" l="1"/>
  <c r="Z247" i="11"/>
  <c r="AA247" i="11" s="1"/>
  <c r="Z237" i="11"/>
  <c r="AA237" i="11" s="1"/>
  <c r="Z228" i="11"/>
  <c r="AA228" i="11" s="1"/>
  <c r="Z202" i="11"/>
  <c r="AA202" i="11" s="1"/>
  <c r="Z239" i="11"/>
  <c r="AA239" i="11" s="1"/>
  <c r="Z229" i="11"/>
  <c r="AA229" i="11" s="1"/>
  <c r="Z220" i="11"/>
  <c r="AA220" i="11" s="1"/>
  <c r="Z194" i="11"/>
  <c r="AA194" i="11" s="1"/>
  <c r="Z231" i="11"/>
  <c r="AA231" i="11" s="1"/>
  <c r="Z221" i="11"/>
  <c r="AA221" i="11" s="1"/>
  <c r="Z212" i="11"/>
  <c r="AA212" i="11" s="1"/>
  <c r="Z230" i="11"/>
  <c r="AA230" i="11" s="1"/>
  <c r="Z186" i="11"/>
  <c r="AA186" i="11" s="1"/>
  <c r="Z249" i="11"/>
  <c r="AA249" i="11" s="1"/>
  <c r="Z223" i="11"/>
  <c r="AA223" i="11" s="1"/>
  <c r="Z213" i="11"/>
  <c r="AA213" i="11" s="1"/>
  <c r="Z204" i="11"/>
  <c r="AA204" i="11" s="1"/>
  <c r="Z206" i="11"/>
  <c r="AA206" i="11" s="1"/>
  <c r="Z215" i="11"/>
  <c r="AA215" i="11" s="1"/>
  <c r="Z205" i="11"/>
  <c r="AA205" i="11" s="1"/>
  <c r="Z196" i="11"/>
  <c r="AA196" i="11" s="1"/>
  <c r="Z207" i="11"/>
  <c r="AA207" i="11" s="1"/>
  <c r="Z197" i="11"/>
  <c r="AA197" i="11" s="1"/>
  <c r="Z188" i="11"/>
  <c r="AA188" i="11" s="1"/>
  <c r="Z190" i="11"/>
  <c r="AA190" i="11" s="1"/>
  <c r="Z248" i="11"/>
  <c r="AA248" i="11" s="1"/>
  <c r="Z199" i="11"/>
  <c r="AA199" i="11" s="1"/>
  <c r="Z189" i="11"/>
  <c r="AA189" i="11" s="1"/>
  <c r="Z240" i="11"/>
  <c r="AA240" i="11" s="1"/>
  <c r="Z191" i="11"/>
  <c r="AA191" i="11" s="1"/>
  <c r="Z235" i="11"/>
  <c r="AA235" i="11" s="1"/>
  <c r="Z241" i="11"/>
  <c r="AA241" i="11" s="1"/>
  <c r="Z232" i="11"/>
  <c r="AA232" i="11" s="1"/>
  <c r="Z233" i="11"/>
  <c r="AA233" i="11" s="1"/>
  <c r="Z224" i="11"/>
  <c r="AA224" i="11" s="1"/>
  <c r="Z238" i="11"/>
  <c r="AA238" i="11" s="1"/>
  <c r="Z243" i="11"/>
  <c r="AA243" i="11" s="1"/>
  <c r="Z225" i="11"/>
  <c r="AA225" i="11" s="1"/>
  <c r="Z216" i="11"/>
  <c r="AA216" i="11" s="1"/>
  <c r="Z214" i="11"/>
  <c r="AA214" i="11" s="1"/>
  <c r="Z227" i="11"/>
  <c r="AA227" i="11" s="1"/>
  <c r="Z217" i="11"/>
  <c r="AA217" i="11" s="1"/>
  <c r="Z208" i="11"/>
  <c r="AA208" i="11" s="1"/>
  <c r="Z222" i="11"/>
  <c r="AA222" i="11" s="1"/>
  <c r="Z219" i="11"/>
  <c r="AA219" i="11" s="1"/>
  <c r="Z242" i="11"/>
  <c r="AA242" i="11" s="1"/>
  <c r="Z209" i="11"/>
  <c r="AA209" i="11" s="1"/>
  <c r="Z200" i="11"/>
  <c r="AA200" i="11" s="1"/>
  <c r="Z246" i="11"/>
  <c r="AA246" i="11" s="1"/>
  <c r="Z211" i="11"/>
  <c r="AA211" i="11" s="1"/>
  <c r="Z201" i="11"/>
  <c r="AA201" i="11" s="1"/>
  <c r="Z192" i="11"/>
  <c r="AA192" i="11" s="1"/>
  <c r="Z198" i="11"/>
  <c r="AA198" i="11" s="1"/>
  <c r="Z203" i="11"/>
  <c r="AA203" i="11" s="1"/>
  <c r="Z226" i="11"/>
  <c r="AA226" i="11" s="1"/>
  <c r="Z193" i="11"/>
  <c r="AA193" i="11" s="1"/>
  <c r="Z244" i="11"/>
  <c r="AA244" i="11" s="1"/>
  <c r="Z195" i="11"/>
  <c r="AA195" i="11" s="1"/>
  <c r="Z218" i="11"/>
  <c r="AA218" i="11" s="1"/>
  <c r="Z245" i="11"/>
  <c r="AA245" i="11" s="1"/>
  <c r="Z236" i="11"/>
  <c r="AA236" i="11" s="1"/>
  <c r="Z187" i="11"/>
  <c r="AA187" i="11" s="1"/>
  <c r="Z210" i="11"/>
  <c r="AA210" i="11" s="1"/>
  <c r="Z157" i="11"/>
  <c r="AA157" i="11" s="1"/>
  <c r="Z183" i="11"/>
  <c r="AA183" i="11" s="1"/>
  <c r="Z182" i="11"/>
  <c r="AA182" i="11" s="1"/>
  <c r="Z184" i="11"/>
  <c r="AA184" i="11" s="1"/>
  <c r="Z185" i="11"/>
  <c r="AA185" i="11" s="1"/>
  <c r="Z181" i="11"/>
  <c r="AA181" i="11" s="1"/>
  <c r="Z171" i="11"/>
  <c r="AA171" i="11" s="1"/>
  <c r="Z173" i="11"/>
  <c r="AA173" i="11" s="1"/>
  <c r="Z167" i="11"/>
  <c r="AA167" i="11" s="1"/>
  <c r="Z179" i="11"/>
  <c r="AA179" i="11" s="1"/>
  <c r="Z169" i="11"/>
  <c r="AA169" i="11" s="1"/>
  <c r="Z168" i="11"/>
  <c r="AA168" i="11" s="1"/>
  <c r="Z166" i="11"/>
  <c r="AA166" i="11" s="1"/>
  <c r="Z160" i="11"/>
  <c r="AA160" i="11" s="1"/>
  <c r="Z156" i="11"/>
  <c r="AA156" i="11" s="1"/>
  <c r="Z178" i="11"/>
  <c r="AA178" i="11" s="1"/>
  <c r="Z170" i="11"/>
  <c r="AA170" i="11" s="1"/>
  <c r="Z155" i="11"/>
  <c r="AA155" i="11" s="1"/>
  <c r="Z152" i="11"/>
  <c r="AA152" i="11" s="1"/>
  <c r="Z174" i="11"/>
  <c r="AA174" i="11" s="1"/>
  <c r="Z161" i="11"/>
  <c r="AA161" i="11" s="1"/>
  <c r="Z159" i="11"/>
  <c r="AA159" i="11" s="1"/>
  <c r="Z158" i="11"/>
  <c r="AA158" i="11" s="1"/>
  <c r="Z162" i="11"/>
  <c r="AA162" i="11" s="1"/>
  <c r="Z163" i="11"/>
  <c r="AA163" i="11" s="1"/>
  <c r="Z153" i="11"/>
  <c r="AA153" i="11" s="1"/>
  <c r="Z151" i="11"/>
  <c r="AA151" i="11" s="1"/>
  <c r="Z180" i="11"/>
  <c r="AA180" i="11" s="1"/>
  <c r="Z164" i="11"/>
  <c r="AA164" i="11" s="1"/>
  <c r="Z165" i="11"/>
  <c r="AA165" i="11" s="1"/>
  <c r="Z176" i="11"/>
  <c r="AA176" i="11" s="1"/>
  <c r="Z175" i="11"/>
  <c r="AA175" i="11" s="1"/>
  <c r="Z154" i="11"/>
  <c r="AA154" i="11" s="1"/>
  <c r="Z172" i="11"/>
  <c r="AA172" i="11" s="1"/>
  <c r="Z177" i="11"/>
  <c r="AA177" i="11" s="1"/>
  <c r="Z51" i="11"/>
  <c r="AA51" i="11" s="1"/>
  <c r="Z81" i="11"/>
  <c r="AA81" i="11" s="1"/>
  <c r="Z117" i="11"/>
  <c r="AA117" i="11" s="1"/>
  <c r="Z140" i="11"/>
  <c r="AA140" i="11" s="1"/>
  <c r="Z94" i="11"/>
  <c r="AA94" i="11" s="1"/>
  <c r="Z146" i="11"/>
  <c r="AA146" i="11" s="1"/>
  <c r="Z101" i="11"/>
  <c r="AA101" i="11" s="1"/>
  <c r="Z78" i="11"/>
  <c r="AA78" i="11" s="1"/>
  <c r="Z135" i="11"/>
  <c r="AA135" i="11" s="1"/>
  <c r="Z67" i="11"/>
  <c r="AA67" i="11" s="1"/>
  <c r="Z92" i="11"/>
  <c r="AA92" i="11" s="1"/>
  <c r="Z107" i="11"/>
  <c r="AA107" i="11" s="1"/>
  <c r="Z147" i="11"/>
  <c r="AA147" i="11" s="1"/>
  <c r="Z148" i="11"/>
  <c r="AA148" i="11" s="1"/>
  <c r="Z145" i="11"/>
  <c r="AA145" i="11" s="1"/>
  <c r="Z70" i="11"/>
  <c r="AA70" i="11" s="1"/>
  <c r="Z84" i="11"/>
  <c r="AA84" i="11" s="1"/>
  <c r="Z126" i="11"/>
  <c r="AA126" i="11" s="1"/>
  <c r="Z110" i="11"/>
  <c r="AA110" i="11" s="1"/>
  <c r="Z63" i="11"/>
  <c r="AA63" i="11" s="1"/>
  <c r="Z109" i="11"/>
  <c r="AA109" i="11" s="1"/>
  <c r="Z129" i="11"/>
  <c r="AA129" i="11" s="1"/>
  <c r="Z52" i="11"/>
  <c r="AA52" i="11" s="1"/>
  <c r="Z108" i="11"/>
  <c r="AA108" i="11" s="1"/>
  <c r="Z85" i="11"/>
  <c r="AA85" i="11" s="1"/>
  <c r="Z57" i="11"/>
  <c r="AA57" i="11" s="1"/>
  <c r="Z142" i="11"/>
  <c r="AA142" i="11" s="1"/>
  <c r="Z54" i="11"/>
  <c r="AA54" i="11" s="1"/>
  <c r="Z53" i="11"/>
  <c r="AA53" i="11" s="1"/>
  <c r="Z93" i="11"/>
  <c r="AA93" i="11" s="1"/>
  <c r="Z79" i="11"/>
  <c r="AA79" i="11" s="1"/>
  <c r="Z137" i="11"/>
  <c r="AA137" i="11" s="1"/>
  <c r="Z56" i="11"/>
  <c r="AA56" i="11" s="1"/>
  <c r="Z118" i="11"/>
  <c r="AA118" i="11" s="1"/>
  <c r="Z66" i="11"/>
  <c r="AA66" i="11" s="1"/>
  <c r="Z131" i="11"/>
  <c r="AA131" i="11" s="1"/>
  <c r="Z65" i="11"/>
  <c r="AA65" i="11" s="1"/>
  <c r="Z89" i="11"/>
  <c r="AA89" i="11" s="1"/>
  <c r="Z75" i="11"/>
  <c r="AA75" i="11" s="1"/>
  <c r="Z106" i="11"/>
  <c r="AA106" i="11" s="1"/>
  <c r="Z62" i="11"/>
  <c r="AA62" i="11" s="1"/>
  <c r="Z127" i="11"/>
  <c r="AA127" i="11" s="1"/>
  <c r="Z90" i="11"/>
  <c r="AA90" i="11" s="1"/>
  <c r="Z111" i="11"/>
  <c r="AA111" i="11" s="1"/>
  <c r="Z114" i="11"/>
  <c r="AA114" i="11" s="1"/>
  <c r="Z91" i="11"/>
  <c r="AA91" i="11" s="1"/>
  <c r="Z104" i="11"/>
  <c r="AA104" i="11" s="1"/>
  <c r="Z119" i="11"/>
  <c r="AA119" i="11" s="1"/>
  <c r="Z134" i="11"/>
  <c r="AA134" i="11" s="1"/>
  <c r="Z73" i="11"/>
  <c r="AA73" i="11" s="1"/>
  <c r="Z58" i="11"/>
  <c r="AA58" i="11" s="1"/>
  <c r="Z80" i="11"/>
  <c r="AA80" i="11" s="1"/>
  <c r="Z121" i="11"/>
  <c r="AA121" i="11" s="1"/>
  <c r="Z64" i="11"/>
  <c r="AA64" i="11" s="1"/>
  <c r="Z100" i="11"/>
  <c r="AA100" i="11" s="1"/>
  <c r="Z143" i="11"/>
  <c r="AA143" i="11" s="1"/>
  <c r="Z113" i="11"/>
  <c r="AA113" i="11" s="1"/>
  <c r="Z97" i="11"/>
  <c r="AA97" i="11" s="1"/>
  <c r="Z133" i="11"/>
  <c r="AA133" i="11" s="1"/>
  <c r="Z122" i="11"/>
  <c r="AA122" i="11" s="1"/>
  <c r="Z120" i="11"/>
  <c r="AA120" i="11" s="1"/>
  <c r="Z116" i="11"/>
  <c r="AA116" i="11" s="1"/>
  <c r="Z68" i="11"/>
  <c r="AA68" i="11" s="1"/>
  <c r="Z103" i="11"/>
  <c r="AA103" i="11" s="1"/>
  <c r="Z71" i="11"/>
  <c r="AA71" i="11" s="1"/>
  <c r="Z124" i="11"/>
  <c r="AA124" i="11" s="1"/>
  <c r="Z86" i="11"/>
  <c r="AA86" i="11" s="1"/>
  <c r="Z72" i="11"/>
  <c r="AA72" i="11" s="1"/>
  <c r="Z95" i="11"/>
  <c r="AA95" i="11" s="1"/>
  <c r="Z123" i="11"/>
  <c r="AA123" i="11" s="1"/>
  <c r="Z141" i="11"/>
  <c r="AA141" i="11" s="1"/>
  <c r="Z128" i="11"/>
  <c r="AA128" i="11" s="1"/>
  <c r="Z59" i="11"/>
  <c r="AA59" i="11" s="1"/>
  <c r="Z69" i="11"/>
  <c r="AA69" i="11" s="1"/>
  <c r="Z138" i="11"/>
  <c r="AA138" i="11" s="1"/>
  <c r="Z105" i="11"/>
  <c r="AA105" i="11" s="1"/>
  <c r="Z96" i="11"/>
  <c r="AA96" i="11" s="1"/>
  <c r="Z125" i="11"/>
  <c r="AA125" i="11" s="1"/>
  <c r="Z149" i="11"/>
  <c r="AA149" i="11" s="1"/>
  <c r="Z87" i="11"/>
  <c r="AA87" i="11" s="1"/>
  <c r="Z132" i="11"/>
  <c r="AA132" i="11" s="1"/>
  <c r="Z82" i="11"/>
  <c r="AA82" i="11" s="1"/>
  <c r="Z102" i="11"/>
  <c r="AA102" i="11" s="1"/>
  <c r="Z88" i="11"/>
  <c r="AA88" i="11" s="1"/>
  <c r="Z61" i="11"/>
  <c r="AA61" i="11" s="1"/>
  <c r="Z99" i="11"/>
  <c r="AA99" i="11" s="1"/>
  <c r="Z98" i="11"/>
  <c r="AA98" i="11" s="1"/>
  <c r="Z76" i="11"/>
  <c r="AA76" i="11" s="1"/>
  <c r="Z150" i="11"/>
  <c r="AA150" i="11" s="1"/>
  <c r="Z139" i="11"/>
  <c r="AA139" i="11" s="1"/>
  <c r="Z55" i="11"/>
  <c r="AA55" i="11" s="1"/>
  <c r="Z60" i="11"/>
  <c r="AA60" i="11" s="1"/>
  <c r="Z74" i="11"/>
  <c r="AA74" i="11" s="1"/>
  <c r="Z115" i="11"/>
  <c r="AA115" i="11" s="1"/>
  <c r="Z83" i="11"/>
  <c r="AA83" i="11" s="1"/>
  <c r="Z136" i="11"/>
  <c r="AA136" i="11" s="1"/>
  <c r="Z77" i="11"/>
  <c r="AA77" i="11" s="1"/>
  <c r="Z130" i="11"/>
  <c r="AA130" i="11" s="1"/>
  <c r="Z112" i="11"/>
  <c r="AA112" i="11" s="1"/>
  <c r="Z144" i="11"/>
  <c r="AA144" i="11" s="1"/>
  <c r="AA6" i="11"/>
  <c r="L91" i="10"/>
  <c r="A93" i="10"/>
  <c r="F92" i="10"/>
  <c r="E92" i="10"/>
  <c r="J92" i="10"/>
  <c r="K92" i="10"/>
  <c r="AA2" i="11" l="1"/>
  <c r="AA4" i="11" s="1"/>
  <c r="Z7" i="11"/>
  <c r="AB7" i="11"/>
  <c r="L92" i="10"/>
  <c r="A94" i="10"/>
  <c r="E93" i="10"/>
  <c r="F93" i="10"/>
  <c r="J93" i="10"/>
  <c r="K93" i="10"/>
  <c r="Z35" i="11" l="1"/>
  <c r="AA35" i="11" s="1"/>
  <c r="Z23" i="11"/>
  <c r="AA23" i="11" s="1"/>
  <c r="Z27" i="11"/>
  <c r="AA27" i="11" s="1"/>
  <c r="Z26" i="11"/>
  <c r="AA26" i="11" s="1"/>
  <c r="Z34" i="11"/>
  <c r="AA34" i="11" s="1"/>
  <c r="Z32" i="11"/>
  <c r="AA32" i="11" s="1"/>
  <c r="Z38" i="11"/>
  <c r="AA38" i="11" s="1"/>
  <c r="Z42" i="11"/>
  <c r="AA42" i="11" s="1"/>
  <c r="Z28" i="11"/>
  <c r="AA28" i="11" s="1"/>
  <c r="Z41" i="11"/>
  <c r="AA41" i="11" s="1"/>
  <c r="Z29" i="11"/>
  <c r="AA29" i="11" s="1"/>
  <c r="Z43" i="11"/>
  <c r="AA43" i="11" s="1"/>
  <c r="Z33" i="11"/>
  <c r="AA33" i="11" s="1"/>
  <c r="Z44" i="11"/>
  <c r="AA44" i="11" s="1"/>
  <c r="Z40" i="11"/>
  <c r="AA40" i="11" s="1"/>
  <c r="Z39" i="11"/>
  <c r="AA39" i="11" s="1"/>
  <c r="Z22" i="11"/>
  <c r="AA22" i="11" s="1"/>
  <c r="Z21" i="11"/>
  <c r="Z37" i="11"/>
  <c r="AA37" i="11" s="1"/>
  <c r="Z36" i="11"/>
  <c r="AA36" i="11" s="1"/>
  <c r="Z30" i="11"/>
  <c r="AA30" i="11" s="1"/>
  <c r="Z31" i="11"/>
  <c r="AA31" i="11" s="1"/>
  <c r="Z25" i="11"/>
  <c r="AA25" i="11" s="1"/>
  <c r="Z24" i="11"/>
  <c r="AA24" i="11" s="1"/>
  <c r="AA18" i="11"/>
  <c r="AA3" i="11"/>
  <c r="AB77" i="11" s="1"/>
  <c r="Z47" i="11"/>
  <c r="AA47" i="11" s="1"/>
  <c r="AB2" i="11" s="1"/>
  <c r="L93" i="10"/>
  <c r="A95" i="10"/>
  <c r="F94" i="10"/>
  <c r="E94" i="10"/>
  <c r="J94" i="10"/>
  <c r="K94" i="10"/>
  <c r="AB249" i="11" l="1"/>
  <c r="AB246" i="11"/>
  <c r="AB219" i="11"/>
  <c r="AB242" i="11"/>
  <c r="AB248" i="11"/>
  <c r="AB234" i="11"/>
  <c r="AB247" i="11"/>
  <c r="AB226" i="11"/>
  <c r="AB238" i="11"/>
  <c r="AB210" i="11"/>
  <c r="AB230" i="11"/>
  <c r="AB222" i="11"/>
  <c r="AB232" i="11"/>
  <c r="AB245" i="11"/>
  <c r="AB237" i="11"/>
  <c r="AB229" i="11"/>
  <c r="AB228" i="11"/>
  <c r="AB244" i="11"/>
  <c r="AB235" i="11"/>
  <c r="AB233" i="11"/>
  <c r="AB241" i="11"/>
  <c r="AB243" i="11"/>
  <c r="AB239" i="11"/>
  <c r="AB231" i="11"/>
  <c r="AB236" i="11"/>
  <c r="AB225" i="11"/>
  <c r="AB240" i="11"/>
  <c r="AB227" i="11"/>
  <c r="AB221" i="11"/>
  <c r="AB220" i="11"/>
  <c r="AB223" i="11"/>
  <c r="AB224" i="11"/>
  <c r="AB202" i="11"/>
  <c r="AB194" i="11"/>
  <c r="AB186" i="11"/>
  <c r="AB199" i="11"/>
  <c r="AB196" i="11"/>
  <c r="AB209" i="11"/>
  <c r="AB211" i="11"/>
  <c r="AB198" i="11"/>
  <c r="AB201" i="11"/>
  <c r="AB216" i="11"/>
  <c r="AB176" i="11"/>
  <c r="AB215" i="11"/>
  <c r="AB207" i="11"/>
  <c r="AB203" i="11"/>
  <c r="AB195" i="11"/>
  <c r="AB212" i="11"/>
  <c r="AB200" i="11"/>
  <c r="AB217" i="11"/>
  <c r="AB213" i="11"/>
  <c r="AB197" i="11"/>
  <c r="AB205" i="11"/>
  <c r="AB208" i="11"/>
  <c r="AB214" i="11"/>
  <c r="AB206" i="11"/>
  <c r="AB204" i="11"/>
  <c r="AB218" i="11"/>
  <c r="AB188" i="11"/>
  <c r="AB157" i="11"/>
  <c r="AB167" i="11"/>
  <c r="AB180" i="11"/>
  <c r="AB169" i="11"/>
  <c r="AB151" i="11"/>
  <c r="AB168" i="11"/>
  <c r="AB158" i="11"/>
  <c r="AB183" i="11"/>
  <c r="AB172" i="11"/>
  <c r="AB187" i="11"/>
  <c r="AB182" i="11"/>
  <c r="AB174" i="11"/>
  <c r="AB166" i="11"/>
  <c r="AB179" i="11"/>
  <c r="AB191" i="11"/>
  <c r="AB189" i="11"/>
  <c r="AB164" i="11"/>
  <c r="AB155" i="11"/>
  <c r="AB175" i="11"/>
  <c r="AB173" i="11"/>
  <c r="AB156" i="11"/>
  <c r="AB181" i="11"/>
  <c r="AB170" i="11"/>
  <c r="AB161" i="11"/>
  <c r="AB193" i="11"/>
  <c r="AB165" i="11"/>
  <c r="AB190" i="11"/>
  <c r="AB185" i="11"/>
  <c r="AB154" i="11"/>
  <c r="AB184" i="11"/>
  <c r="AB153" i="11"/>
  <c r="AB160" i="11"/>
  <c r="AB192" i="11"/>
  <c r="AB177" i="11"/>
  <c r="AB145" i="11"/>
  <c r="AB134" i="11"/>
  <c r="AB127" i="11"/>
  <c r="AB124" i="11"/>
  <c r="AB135" i="11"/>
  <c r="AB112" i="11"/>
  <c r="AB178" i="11"/>
  <c r="AB159" i="11"/>
  <c r="AB152" i="11"/>
  <c r="AB171" i="11"/>
  <c r="AB163" i="11"/>
  <c r="AB162" i="11"/>
  <c r="AB149" i="11"/>
  <c r="AB147" i="11"/>
  <c r="AB121" i="11"/>
  <c r="AB116" i="11"/>
  <c r="AB138" i="11"/>
  <c r="AB142" i="11"/>
  <c r="AB119" i="11"/>
  <c r="AB114" i="11"/>
  <c r="AB133" i="11"/>
  <c r="AB122" i="11"/>
  <c r="AB144" i="11"/>
  <c r="AB136" i="11"/>
  <c r="AB137" i="11"/>
  <c r="AB130" i="11"/>
  <c r="AB125" i="11"/>
  <c r="AB148" i="11"/>
  <c r="AB115" i="11"/>
  <c r="AB111" i="11"/>
  <c r="AB118" i="11"/>
  <c r="AB74" i="11"/>
  <c r="AB90" i="11"/>
  <c r="AB51" i="11"/>
  <c r="AB100" i="11"/>
  <c r="AB103" i="11"/>
  <c r="AB86" i="11"/>
  <c r="AB88" i="11"/>
  <c r="AB99" i="11"/>
  <c r="AB107" i="11"/>
  <c r="AB96" i="11"/>
  <c r="AB105" i="11"/>
  <c r="AB102" i="11"/>
  <c r="AB104" i="11"/>
  <c r="AB94" i="11"/>
  <c r="AB110" i="11"/>
  <c r="AB60" i="11"/>
  <c r="AB81" i="11"/>
  <c r="AB55" i="11"/>
  <c r="AB53" i="11"/>
  <c r="AB78" i="11"/>
  <c r="AB54" i="11"/>
  <c r="AB76" i="11"/>
  <c r="AB57" i="11"/>
  <c r="AB64" i="11"/>
  <c r="AB69" i="11"/>
  <c r="AB66" i="11"/>
  <c r="AB70" i="11"/>
  <c r="AB73" i="11"/>
  <c r="AB71" i="11"/>
  <c r="AB67" i="11"/>
  <c r="AB98" i="11"/>
  <c r="AB82" i="11"/>
  <c r="AB97" i="11"/>
  <c r="AB84" i="11"/>
  <c r="AB56" i="11"/>
  <c r="AB58" i="11"/>
  <c r="AB89" i="11"/>
  <c r="AB59" i="11"/>
  <c r="AB108" i="11"/>
  <c r="AB92" i="11"/>
  <c r="AB139" i="11"/>
  <c r="AB61" i="11"/>
  <c r="AB132" i="11"/>
  <c r="AB129" i="11"/>
  <c r="AB126" i="11"/>
  <c r="AB150" i="11"/>
  <c r="AB85" i="11"/>
  <c r="AB146" i="11"/>
  <c r="AB63" i="11"/>
  <c r="AB141" i="11"/>
  <c r="AB120" i="11"/>
  <c r="AB143" i="11"/>
  <c r="AB109" i="11"/>
  <c r="AB95" i="11"/>
  <c r="AB62" i="11"/>
  <c r="AB75" i="11"/>
  <c r="AB140" i="11"/>
  <c r="AB117" i="11"/>
  <c r="AB65" i="11"/>
  <c r="AB68" i="11"/>
  <c r="AB106" i="11"/>
  <c r="AB83" i="11"/>
  <c r="AB93" i="11"/>
  <c r="AB128" i="11"/>
  <c r="AB113" i="11"/>
  <c r="AB80" i="11"/>
  <c r="AB79" i="11"/>
  <c r="AB123" i="11"/>
  <c r="AB91" i="11"/>
  <c r="AB52" i="11"/>
  <c r="AB87" i="11"/>
  <c r="AB101" i="11"/>
  <c r="AB131" i="11"/>
  <c r="AB72" i="11"/>
  <c r="AB18" i="11"/>
  <c r="AB4" i="11"/>
  <c r="AB3" i="11"/>
  <c r="AA21" i="11"/>
  <c r="Z2" i="11" s="1"/>
  <c r="L94" i="10"/>
  <c r="A96" i="10"/>
  <c r="F95" i="10"/>
  <c r="E95" i="10"/>
  <c r="J95" i="10"/>
  <c r="K95" i="10"/>
  <c r="AB47" i="11" l="1"/>
  <c r="AB14" i="11" s="1"/>
  <c r="AA9" i="11"/>
  <c r="AE11" i="11" s="1"/>
  <c r="AA14" i="11"/>
  <c r="AB16" i="11" s="1"/>
  <c r="L22" i="8" s="1"/>
  <c r="C73" i="13" s="1"/>
  <c r="Z18" i="11"/>
  <c r="L25" i="8" s="1"/>
  <c r="L24" i="8" s="1"/>
  <c r="Z3" i="11"/>
  <c r="Z4" i="11"/>
  <c r="L95" i="10"/>
  <c r="A97" i="10"/>
  <c r="F96" i="10"/>
  <c r="E96" i="10"/>
  <c r="J96" i="10"/>
  <c r="K96" i="10"/>
  <c r="AB9" i="11" l="1"/>
  <c r="AB10" i="11" s="1"/>
  <c r="AB11" i="11" s="1"/>
  <c r="AA10" i="11"/>
  <c r="AE9" i="11" s="1"/>
  <c r="L26" i="8"/>
  <c r="AB39" i="11"/>
  <c r="AB42" i="11"/>
  <c r="AB44" i="11"/>
  <c r="AB35" i="11"/>
  <c r="AB37" i="11"/>
  <c r="AB38" i="11"/>
  <c r="AB40" i="11"/>
  <c r="AB33" i="11"/>
  <c r="AB41" i="11"/>
  <c r="AB43" i="11"/>
  <c r="AB34" i="11"/>
  <c r="AB36" i="11"/>
  <c r="AB21" i="11"/>
  <c r="AB23" i="11"/>
  <c r="AB32" i="11"/>
  <c r="AB25" i="11"/>
  <c r="AB29" i="11"/>
  <c r="AB27" i="11"/>
  <c r="AB24" i="11"/>
  <c r="AB31" i="11"/>
  <c r="AB22" i="11"/>
  <c r="AB26" i="11"/>
  <c r="AB30" i="11"/>
  <c r="AB28" i="11"/>
  <c r="L27" i="8"/>
  <c r="L96" i="10"/>
  <c r="A98" i="10"/>
  <c r="F97" i="10"/>
  <c r="E97" i="10"/>
  <c r="J97" i="10"/>
  <c r="K97" i="10"/>
  <c r="AA11" i="11" l="1"/>
  <c r="L20" i="8" s="1"/>
  <c r="AE12" i="11"/>
  <c r="Z9" i="11"/>
  <c r="AD11" i="11" s="1"/>
  <c r="Z14" i="11"/>
  <c r="Z15" i="11" s="1"/>
  <c r="Z16" i="11" s="1"/>
  <c r="L21" i="8" s="1"/>
  <c r="C72" i="13" s="1"/>
  <c r="L97" i="10"/>
  <c r="F98" i="10"/>
  <c r="A99" i="10"/>
  <c r="E98" i="10"/>
  <c r="J98" i="10"/>
  <c r="K98" i="10"/>
  <c r="C71" i="13" l="1"/>
  <c r="B71" i="13"/>
  <c r="Z10" i="11"/>
  <c r="AD9" i="11" s="1"/>
  <c r="L98" i="10"/>
  <c r="A100" i="10"/>
  <c r="E99" i="10"/>
  <c r="F99" i="10"/>
  <c r="J99" i="10"/>
  <c r="K99" i="10"/>
  <c r="Z11" i="11" l="1"/>
  <c r="L19" i="8" s="1"/>
  <c r="AD12" i="11"/>
  <c r="L99" i="10"/>
  <c r="A101" i="10"/>
  <c r="F100" i="10"/>
  <c r="E100" i="10"/>
  <c r="J100" i="10"/>
  <c r="K100" i="10"/>
  <c r="C70" i="13" l="1"/>
  <c r="C74" i="13" s="1"/>
  <c r="J33" i="8" s="1"/>
  <c r="B70" i="13"/>
  <c r="L100" i="10"/>
  <c r="A102" i="10"/>
  <c r="F101" i="10"/>
  <c r="E101" i="10"/>
  <c r="J101" i="10"/>
  <c r="K101" i="10"/>
  <c r="L101" i="10" l="1"/>
  <c r="A103" i="10"/>
  <c r="E102" i="10"/>
  <c r="F102" i="10"/>
  <c r="J102" i="10"/>
  <c r="K102" i="10"/>
  <c r="L102" i="10" l="1"/>
  <c r="A104" i="10"/>
  <c r="F103" i="10"/>
  <c r="E103" i="10"/>
  <c r="J103" i="10"/>
  <c r="K103" i="10"/>
  <c r="L103" i="10" l="1"/>
  <c r="A105" i="10"/>
  <c r="F104" i="10"/>
  <c r="E104" i="10"/>
  <c r="J104" i="10"/>
  <c r="K104" i="10"/>
  <c r="L104" i="10" l="1"/>
  <c r="A106" i="10"/>
  <c r="F105" i="10"/>
  <c r="E105" i="10"/>
  <c r="J105" i="10"/>
  <c r="K105" i="10"/>
  <c r="L105" i="10" l="1"/>
  <c r="F106" i="10"/>
  <c r="E106" i="10"/>
  <c r="A107" i="10"/>
  <c r="J106" i="10"/>
  <c r="K106" i="10"/>
  <c r="L106" i="10" l="1"/>
  <c r="A108" i="10"/>
  <c r="E107" i="10"/>
  <c r="F107" i="10"/>
  <c r="J107" i="10"/>
  <c r="K107" i="10"/>
  <c r="L107" i="10" l="1"/>
  <c r="A109" i="10"/>
  <c r="F108" i="10"/>
  <c r="E108" i="10"/>
  <c r="J108" i="10"/>
  <c r="K108" i="10"/>
  <c r="L108" i="10" l="1"/>
  <c r="A110" i="10"/>
  <c r="F109" i="10"/>
  <c r="E109" i="10"/>
  <c r="J109" i="10"/>
  <c r="K109" i="10"/>
  <c r="L109" i="10" l="1"/>
  <c r="A111" i="10"/>
  <c r="F110" i="10"/>
  <c r="E110" i="10"/>
  <c r="J110" i="10"/>
  <c r="K110" i="10"/>
  <c r="L110" i="10" l="1"/>
  <c r="A112" i="10"/>
  <c r="F111" i="10"/>
  <c r="E111" i="10"/>
  <c r="J111" i="10"/>
  <c r="K111" i="10"/>
  <c r="L111" i="10" l="1"/>
  <c r="A113" i="10"/>
  <c r="F112" i="10"/>
  <c r="E112" i="10"/>
  <c r="J112" i="10"/>
  <c r="K112" i="10"/>
  <c r="L112" i="10" l="1"/>
  <c r="A114" i="10"/>
  <c r="F113" i="10"/>
  <c r="E113" i="10"/>
  <c r="J113" i="10"/>
  <c r="K113" i="10"/>
  <c r="L113" i="10" l="1"/>
  <c r="E114" i="10"/>
  <c r="A115" i="10"/>
  <c r="F114" i="10"/>
  <c r="J114" i="10"/>
  <c r="K114" i="10"/>
  <c r="L114" i="10" l="1"/>
  <c r="A116" i="10"/>
  <c r="F115" i="10"/>
  <c r="E115" i="10"/>
  <c r="J115" i="10"/>
  <c r="K115" i="10"/>
  <c r="L115" i="10" l="1"/>
  <c r="A117" i="10"/>
  <c r="F116" i="10"/>
  <c r="E116" i="10"/>
  <c r="J116" i="10"/>
  <c r="K116" i="10"/>
  <c r="L116" i="10" l="1"/>
  <c r="A118" i="10"/>
  <c r="E117" i="10"/>
  <c r="F117" i="10"/>
  <c r="J117" i="10"/>
  <c r="K117" i="10"/>
  <c r="L117" i="10" l="1"/>
  <c r="A119" i="10"/>
  <c r="F118" i="10"/>
  <c r="E118" i="10"/>
  <c r="J118" i="10"/>
  <c r="K118" i="10"/>
  <c r="L118" i="10" l="1"/>
  <c r="A120" i="10"/>
  <c r="E119" i="10"/>
  <c r="F119" i="10"/>
  <c r="J119" i="10"/>
  <c r="K119" i="10"/>
  <c r="L119" i="10" l="1"/>
  <c r="A121" i="10"/>
  <c r="F120" i="10"/>
  <c r="E120" i="10"/>
  <c r="J120" i="10"/>
  <c r="K120" i="10"/>
  <c r="L120" i="10" l="1"/>
  <c r="A122" i="10"/>
  <c r="F121" i="10"/>
  <c r="E121" i="10"/>
  <c r="J121" i="10"/>
  <c r="K121" i="10"/>
  <c r="L121" i="10" l="1"/>
  <c r="A123" i="10"/>
  <c r="F122" i="10"/>
  <c r="E122" i="10"/>
  <c r="J122" i="10"/>
  <c r="K122" i="10"/>
  <c r="L122" i="10" l="1"/>
  <c r="A124" i="10"/>
  <c r="F123" i="10"/>
  <c r="E123" i="10"/>
  <c r="J123" i="10"/>
  <c r="K123" i="10"/>
  <c r="L123" i="10" l="1"/>
  <c r="A125" i="10"/>
  <c r="F124" i="10"/>
  <c r="E124" i="10"/>
  <c r="J124" i="10"/>
  <c r="K124" i="10"/>
  <c r="L124" i="10" l="1"/>
  <c r="A126" i="10"/>
  <c r="F125" i="10"/>
  <c r="E125" i="10"/>
  <c r="J125" i="10"/>
  <c r="K125" i="10"/>
  <c r="L125" i="10" l="1"/>
  <c r="A127" i="10"/>
  <c r="F126" i="10"/>
  <c r="E126" i="10"/>
  <c r="J126" i="10"/>
  <c r="K126" i="10"/>
  <c r="E127" i="10" l="1"/>
  <c r="A128" i="10"/>
  <c r="F127" i="10"/>
  <c r="J127" i="10"/>
  <c r="K127" i="10"/>
  <c r="L126" i="10"/>
  <c r="L127" i="10" l="1"/>
  <c r="A129" i="10"/>
  <c r="F128" i="10"/>
  <c r="E128" i="10"/>
  <c r="J128" i="10"/>
  <c r="K128" i="10"/>
  <c r="L128" i="10" l="1"/>
  <c r="F129" i="10"/>
  <c r="A130" i="10"/>
  <c r="E129" i="10"/>
  <c r="J129" i="10"/>
  <c r="K129" i="10"/>
  <c r="L129" i="10" l="1"/>
  <c r="A131" i="10"/>
  <c r="F130" i="10"/>
  <c r="E130" i="10"/>
  <c r="J130" i="10"/>
  <c r="K130" i="10"/>
  <c r="L130" i="10" l="1"/>
  <c r="A132" i="10"/>
  <c r="F131" i="10"/>
  <c r="E131" i="10"/>
  <c r="J131" i="10"/>
  <c r="K131" i="10"/>
  <c r="L131" i="10" l="1"/>
  <c r="A133" i="10"/>
  <c r="E132" i="10"/>
  <c r="F132" i="10"/>
  <c r="J132" i="10"/>
  <c r="K132" i="10"/>
  <c r="L132" i="10" l="1"/>
  <c r="A134" i="10"/>
  <c r="E133" i="10"/>
  <c r="F133" i="10"/>
  <c r="J133" i="10"/>
  <c r="K133" i="10"/>
  <c r="L133" i="10" l="1"/>
  <c r="E134" i="10"/>
  <c r="A135" i="10"/>
  <c r="F134" i="10"/>
  <c r="J134" i="10"/>
  <c r="K134" i="10"/>
  <c r="L134" i="10" l="1"/>
  <c r="A136" i="10"/>
  <c r="F135" i="10"/>
  <c r="E135" i="10"/>
  <c r="J135" i="10"/>
  <c r="K135" i="10"/>
  <c r="L135" i="10" l="1"/>
  <c r="E136" i="10"/>
  <c r="A137" i="10"/>
  <c r="F136" i="10"/>
  <c r="J136" i="10"/>
  <c r="K136" i="10"/>
  <c r="L136" i="10" l="1"/>
  <c r="A138" i="10"/>
  <c r="F137" i="10"/>
  <c r="E137" i="10"/>
  <c r="J137" i="10"/>
  <c r="K137" i="10"/>
  <c r="L137" i="10" l="1"/>
  <c r="F138" i="10"/>
  <c r="E138" i="10"/>
  <c r="A139" i="10"/>
  <c r="J138" i="10"/>
  <c r="K138" i="10"/>
  <c r="L138" i="10" l="1"/>
  <c r="A140" i="10"/>
  <c r="F139" i="10"/>
  <c r="E139" i="10"/>
  <c r="J139" i="10"/>
  <c r="K139" i="10"/>
  <c r="L139" i="10" l="1"/>
  <c r="A141" i="10"/>
  <c r="F140" i="10"/>
  <c r="E140" i="10"/>
  <c r="J140" i="10"/>
  <c r="K140" i="10"/>
  <c r="L140" i="10" l="1"/>
  <c r="A142" i="10"/>
  <c r="F141" i="10"/>
  <c r="E141" i="10"/>
  <c r="K141" i="10"/>
  <c r="J141" i="10"/>
  <c r="L141" i="10" l="1"/>
  <c r="A143" i="10"/>
  <c r="F142" i="10"/>
  <c r="E142" i="10"/>
  <c r="J142" i="10"/>
  <c r="K142" i="10"/>
  <c r="L142" i="10" l="1"/>
  <c r="E143" i="10"/>
  <c r="A144" i="10"/>
  <c r="F143" i="10"/>
  <c r="J143" i="10"/>
  <c r="K143" i="10"/>
  <c r="L143" i="10" l="1"/>
  <c r="A145" i="10"/>
  <c r="E144" i="10"/>
  <c r="F144" i="10"/>
  <c r="J144" i="10"/>
  <c r="K144" i="10"/>
  <c r="L144" i="10" l="1"/>
  <c r="E145" i="10"/>
  <c r="F145" i="10"/>
  <c r="A146" i="10"/>
  <c r="J145" i="10"/>
  <c r="K145" i="10"/>
  <c r="L145" i="10" l="1"/>
  <c r="F146" i="10"/>
  <c r="E146" i="10"/>
  <c r="A147" i="10"/>
  <c r="J146" i="10"/>
  <c r="K146" i="10"/>
  <c r="L146" i="10" l="1"/>
  <c r="A148" i="10"/>
  <c r="F147" i="10"/>
  <c r="E147" i="10"/>
  <c r="J147" i="10"/>
  <c r="K147" i="10"/>
  <c r="L147" i="10" l="1"/>
  <c r="A149" i="10"/>
  <c r="F148" i="10"/>
  <c r="E148" i="10"/>
  <c r="J148" i="10"/>
  <c r="K148" i="10"/>
  <c r="L148" i="10" l="1"/>
  <c r="A150" i="10"/>
  <c r="F149" i="10"/>
  <c r="E149" i="10"/>
  <c r="J149" i="10"/>
  <c r="K149" i="10"/>
  <c r="L149" i="10" l="1"/>
  <c r="A151" i="10"/>
  <c r="F150" i="10"/>
  <c r="E150" i="10"/>
  <c r="J150" i="10"/>
  <c r="K150" i="10"/>
  <c r="L150" i="10" l="1"/>
  <c r="A152" i="10"/>
  <c r="F151" i="10"/>
  <c r="E151" i="10"/>
  <c r="J151" i="10"/>
  <c r="K151" i="10"/>
  <c r="L151" i="10" l="1"/>
  <c r="E152" i="10"/>
  <c r="A153" i="10"/>
  <c r="F152" i="10"/>
  <c r="J152" i="10"/>
  <c r="K152" i="10"/>
  <c r="L152" i="10" l="1"/>
  <c r="A154" i="10"/>
  <c r="F153" i="10"/>
  <c r="E153" i="10"/>
  <c r="J153" i="10"/>
  <c r="K153" i="10"/>
  <c r="L153" i="10" l="1"/>
  <c r="F154" i="10"/>
  <c r="E154" i="10"/>
  <c r="A155" i="10"/>
  <c r="J154" i="10"/>
  <c r="K154" i="10"/>
  <c r="L154" i="10" l="1"/>
  <c r="A156" i="10"/>
  <c r="F155" i="10"/>
  <c r="E155" i="10"/>
  <c r="J155" i="10"/>
  <c r="K155" i="10"/>
  <c r="L155" i="10" l="1"/>
  <c r="A157" i="10"/>
  <c r="F156" i="10"/>
  <c r="E156" i="10"/>
  <c r="J156" i="10"/>
  <c r="K156" i="10"/>
  <c r="L156" i="10" l="1"/>
  <c r="A158" i="10"/>
  <c r="F157" i="10"/>
  <c r="E157" i="10"/>
  <c r="J157" i="10"/>
  <c r="K157" i="10"/>
  <c r="L157" i="10" l="1"/>
  <c r="A159" i="10"/>
  <c r="F158" i="10"/>
  <c r="E158" i="10"/>
  <c r="J158" i="10"/>
  <c r="K158" i="10"/>
  <c r="L158" i="10" l="1"/>
  <c r="A160" i="10"/>
  <c r="F159" i="10"/>
  <c r="E159" i="10"/>
  <c r="J159" i="10"/>
  <c r="K159" i="10"/>
  <c r="L159" i="10" l="1"/>
  <c r="A161" i="10"/>
  <c r="E160" i="10"/>
  <c r="F160" i="10"/>
  <c r="J160" i="10"/>
  <c r="K160" i="10"/>
  <c r="L160" i="10" l="1"/>
  <c r="F161" i="10"/>
  <c r="A162" i="10"/>
  <c r="E161" i="10"/>
  <c r="J161" i="10"/>
  <c r="K161" i="10"/>
  <c r="L161" i="10" l="1"/>
  <c r="F162" i="10"/>
  <c r="A163" i="10"/>
  <c r="E162" i="10"/>
  <c r="J162" i="10"/>
  <c r="K162" i="10"/>
  <c r="L162" i="10" l="1"/>
  <c r="A164" i="10"/>
  <c r="F163" i="10"/>
  <c r="E163" i="10"/>
  <c r="J163" i="10"/>
  <c r="K163" i="10"/>
  <c r="L163" i="10" l="1"/>
  <c r="A165" i="10"/>
  <c r="E164" i="10"/>
  <c r="F164" i="10"/>
  <c r="J164" i="10"/>
  <c r="K164" i="10"/>
  <c r="L164" i="10" l="1"/>
  <c r="A166" i="10"/>
  <c r="F165" i="10"/>
  <c r="E165" i="10"/>
  <c r="J165" i="10"/>
  <c r="K165" i="10"/>
  <c r="L165" i="10" l="1"/>
  <c r="E166" i="10"/>
  <c r="A167" i="10"/>
  <c r="F166" i="10"/>
  <c r="J166" i="10"/>
  <c r="K166" i="10"/>
  <c r="L166" i="10" l="1"/>
  <c r="A168" i="10"/>
  <c r="E167" i="10"/>
  <c r="F167" i="10"/>
  <c r="J167" i="10"/>
  <c r="K167" i="10"/>
  <c r="L167" i="10" l="1"/>
  <c r="F168" i="10"/>
  <c r="E168" i="10"/>
  <c r="A169" i="10"/>
  <c r="J168" i="10"/>
  <c r="K168" i="10"/>
  <c r="L168" i="10" l="1"/>
  <c r="A170" i="10"/>
  <c r="F169" i="10"/>
  <c r="E169" i="10"/>
  <c r="J169" i="10"/>
  <c r="K169" i="10"/>
  <c r="L169" i="10" l="1"/>
  <c r="F170" i="10"/>
  <c r="E170" i="10"/>
  <c r="A171" i="10"/>
  <c r="J170" i="10"/>
  <c r="K170" i="10"/>
  <c r="L170" i="10" l="1"/>
  <c r="A172" i="10"/>
  <c r="F171" i="10"/>
  <c r="E171" i="10"/>
  <c r="J171" i="10"/>
  <c r="K171" i="10"/>
  <c r="L171" i="10" l="1"/>
  <c r="A173" i="10"/>
  <c r="F172" i="10"/>
  <c r="E172" i="10"/>
  <c r="J172" i="10"/>
  <c r="K172" i="10"/>
  <c r="L172" i="10" l="1"/>
  <c r="A174" i="10"/>
  <c r="F173" i="10"/>
  <c r="E173" i="10"/>
  <c r="J173" i="10"/>
  <c r="K173" i="10"/>
  <c r="L173" i="10" l="1"/>
  <c r="A175" i="10"/>
  <c r="E174" i="10"/>
  <c r="F174" i="10"/>
  <c r="J174" i="10"/>
  <c r="K174" i="10"/>
  <c r="L174" i="10" l="1"/>
  <c r="E175" i="10"/>
  <c r="A176" i="10"/>
  <c r="F175" i="10"/>
  <c r="J175" i="10"/>
  <c r="K175" i="10"/>
  <c r="L175" i="10" l="1"/>
  <c r="A177" i="10"/>
  <c r="F176" i="10"/>
  <c r="E176" i="10"/>
  <c r="J176" i="10"/>
  <c r="K176" i="10"/>
  <c r="L176" i="10" l="1"/>
  <c r="F177" i="10"/>
  <c r="E177" i="10"/>
  <c r="A178" i="10"/>
  <c r="J177" i="10"/>
  <c r="K177" i="10"/>
  <c r="L177" i="10" l="1"/>
  <c r="F178" i="10"/>
  <c r="E178" i="10"/>
  <c r="A179" i="10"/>
  <c r="J178" i="10"/>
  <c r="K178" i="10"/>
  <c r="L178" i="10" l="1"/>
  <c r="A180" i="10"/>
  <c r="F179" i="10"/>
  <c r="E179" i="10"/>
  <c r="K179" i="10"/>
  <c r="J179" i="10"/>
  <c r="L179" i="10" l="1"/>
  <c r="A181" i="10"/>
  <c r="F180" i="10"/>
  <c r="E180" i="10"/>
  <c r="J180" i="10"/>
  <c r="K180" i="10"/>
  <c r="L180" i="10" l="1"/>
  <c r="A182" i="10"/>
  <c r="E181" i="10"/>
  <c r="F181" i="10"/>
  <c r="J181" i="10"/>
  <c r="K181" i="10"/>
  <c r="L181" i="10" l="1"/>
  <c r="E182" i="10"/>
  <c r="A183" i="10"/>
  <c r="F182" i="10"/>
  <c r="J182" i="10"/>
  <c r="K182" i="10"/>
  <c r="L182" i="10" l="1"/>
  <c r="A184" i="10"/>
  <c r="E183" i="10"/>
  <c r="F183" i="10"/>
  <c r="J183" i="10"/>
  <c r="K183" i="10"/>
  <c r="L183" i="10" l="1"/>
  <c r="F184" i="10"/>
  <c r="E184" i="10"/>
  <c r="A185" i="10"/>
  <c r="J184" i="10"/>
  <c r="K184" i="10"/>
  <c r="L184" i="10" l="1"/>
  <c r="A186" i="10"/>
  <c r="F185" i="10"/>
  <c r="E185" i="10"/>
  <c r="J185" i="10"/>
  <c r="K185" i="10"/>
  <c r="L185" i="10" l="1"/>
  <c r="F186" i="10"/>
  <c r="E186" i="10"/>
  <c r="A187" i="10"/>
  <c r="J186" i="10"/>
  <c r="K186" i="10"/>
  <c r="L186" i="10" l="1"/>
  <c r="A188" i="10"/>
  <c r="F187" i="10"/>
  <c r="E187" i="10"/>
  <c r="J187" i="10"/>
  <c r="K187" i="10"/>
  <c r="L187" i="10" l="1"/>
  <c r="A189" i="10"/>
  <c r="F188" i="10"/>
  <c r="E188" i="10"/>
  <c r="J188" i="10"/>
  <c r="K188" i="10"/>
  <c r="L188" i="10" l="1"/>
  <c r="A190" i="10"/>
  <c r="F189" i="10"/>
  <c r="E189" i="10"/>
  <c r="J189" i="10"/>
  <c r="K189" i="10"/>
  <c r="L189" i="10" l="1"/>
  <c r="A191" i="10"/>
  <c r="F190" i="10"/>
  <c r="E190" i="10"/>
  <c r="J190" i="10"/>
  <c r="K190" i="10"/>
  <c r="L190" i="10" l="1"/>
  <c r="E191" i="10"/>
  <c r="A192" i="10"/>
  <c r="F191" i="10"/>
  <c r="J191" i="10"/>
  <c r="K191" i="10"/>
  <c r="L191" i="10" l="1"/>
  <c r="A193" i="10"/>
  <c r="F192" i="10"/>
  <c r="E192" i="10"/>
  <c r="J192" i="10"/>
  <c r="K192" i="10"/>
  <c r="L192" i="10" l="1"/>
  <c r="F193" i="10"/>
  <c r="E193" i="10"/>
  <c r="A194" i="10"/>
  <c r="J193" i="10"/>
  <c r="K193" i="10"/>
  <c r="L193" i="10" l="1"/>
  <c r="F194" i="10"/>
  <c r="A195" i="10"/>
  <c r="E194" i="10"/>
  <c r="J194" i="10"/>
  <c r="K194" i="10"/>
  <c r="L194" i="10" l="1"/>
  <c r="A196" i="10"/>
  <c r="F195" i="10"/>
  <c r="E195" i="10"/>
  <c r="J195" i="10"/>
  <c r="K195" i="10"/>
  <c r="L195" i="10" l="1"/>
  <c r="A197" i="10"/>
  <c r="F196" i="10"/>
  <c r="E196" i="10"/>
  <c r="J196" i="10"/>
  <c r="K196" i="10"/>
  <c r="L196" i="10" l="1"/>
  <c r="A198" i="10"/>
  <c r="F197" i="10"/>
  <c r="E197" i="10"/>
  <c r="J197" i="10"/>
  <c r="K197" i="10"/>
  <c r="L197" i="10" l="1"/>
  <c r="E198" i="10"/>
  <c r="A199" i="10"/>
  <c r="F198" i="10"/>
  <c r="J198" i="10"/>
  <c r="K198" i="10"/>
  <c r="L198" i="10" l="1"/>
  <c r="A200" i="10"/>
  <c r="E199" i="10"/>
  <c r="F199" i="10"/>
  <c r="J199" i="10"/>
  <c r="K199" i="10"/>
  <c r="L199" i="10" l="1"/>
  <c r="F200" i="10"/>
  <c r="E200" i="10"/>
  <c r="A201" i="10"/>
  <c r="J200" i="10"/>
  <c r="K200" i="10"/>
  <c r="L200" i="10" l="1"/>
  <c r="A202" i="10"/>
  <c r="F201" i="10"/>
  <c r="E201" i="10"/>
  <c r="J201" i="10"/>
  <c r="K201" i="10"/>
  <c r="L201" i="10" l="1"/>
  <c r="F202" i="10"/>
  <c r="E202" i="10"/>
  <c r="A203" i="10"/>
  <c r="J202" i="10"/>
  <c r="K202" i="10"/>
  <c r="L202" i="10" l="1"/>
  <c r="A204" i="10"/>
  <c r="F203" i="10"/>
  <c r="E203" i="10"/>
  <c r="J203" i="10"/>
  <c r="K203" i="10"/>
  <c r="L203" i="10" l="1"/>
  <c r="A205" i="10"/>
  <c r="F204" i="10"/>
  <c r="E204" i="10"/>
  <c r="J204" i="10"/>
  <c r="K204" i="10"/>
  <c r="L204" i="10" l="1"/>
  <c r="A206" i="10"/>
  <c r="F205" i="10"/>
  <c r="E205" i="10"/>
  <c r="J205" i="10"/>
  <c r="K205" i="10"/>
  <c r="L205" i="10" l="1"/>
  <c r="A207" i="10"/>
  <c r="E206" i="10"/>
  <c r="F206" i="10"/>
  <c r="J206" i="10"/>
  <c r="K206" i="10"/>
  <c r="L206" i="10" l="1"/>
  <c r="E207" i="10"/>
  <c r="A208" i="10"/>
  <c r="F207" i="10"/>
  <c r="J207" i="10"/>
  <c r="K207" i="10"/>
  <c r="L207" i="10" l="1"/>
  <c r="A209" i="10"/>
  <c r="F208" i="10"/>
  <c r="E208" i="10"/>
  <c r="J208" i="10"/>
  <c r="K208" i="10"/>
  <c r="L208" i="10" l="1"/>
  <c r="F209" i="10"/>
  <c r="E209" i="10"/>
  <c r="A210" i="10"/>
  <c r="J209" i="10"/>
  <c r="K209" i="10"/>
  <c r="L209" i="10" l="1"/>
  <c r="F210" i="10"/>
  <c r="A211" i="10"/>
  <c r="E210" i="10"/>
  <c r="J210" i="10"/>
  <c r="K210" i="10"/>
  <c r="L210" i="10" l="1"/>
  <c r="A212" i="10"/>
  <c r="F211" i="10"/>
  <c r="E211" i="10"/>
  <c r="J211" i="10"/>
  <c r="K211" i="10"/>
  <c r="L211" i="10" l="1"/>
  <c r="A213" i="10"/>
  <c r="F212" i="10"/>
  <c r="E212" i="10"/>
  <c r="J212" i="10"/>
  <c r="K212" i="10"/>
  <c r="L212" i="10" l="1"/>
  <c r="A214" i="10"/>
  <c r="E213" i="10"/>
  <c r="F213" i="10"/>
  <c r="J213" i="10"/>
  <c r="K213" i="10"/>
  <c r="L213" i="10" l="1"/>
  <c r="E214" i="10"/>
  <c r="A215" i="10"/>
  <c r="F214" i="10"/>
  <c r="J214" i="10"/>
  <c r="K214" i="10"/>
  <c r="L214" i="10" l="1"/>
  <c r="A216" i="10"/>
  <c r="E215" i="10"/>
  <c r="F215" i="10"/>
  <c r="J215" i="10"/>
  <c r="K215" i="10"/>
  <c r="L215" i="10" l="1"/>
  <c r="F216" i="10"/>
  <c r="E216" i="10"/>
  <c r="A217" i="10"/>
  <c r="J216" i="10"/>
  <c r="K216" i="10"/>
  <c r="L216" i="10" l="1"/>
  <c r="A218" i="10"/>
  <c r="F217" i="10"/>
  <c r="E217" i="10"/>
  <c r="J217" i="10"/>
  <c r="K217" i="10"/>
  <c r="L217" i="10" l="1"/>
  <c r="F218" i="10"/>
  <c r="E218" i="10"/>
  <c r="A219" i="10"/>
  <c r="J218" i="10"/>
  <c r="K218" i="10"/>
  <c r="L218" i="10" l="1"/>
  <c r="A220" i="10"/>
  <c r="F219" i="10"/>
  <c r="E219" i="10"/>
  <c r="J219" i="10"/>
  <c r="K219" i="10"/>
  <c r="L219" i="10" l="1"/>
  <c r="A221" i="10"/>
  <c r="F220" i="10"/>
  <c r="E220" i="10"/>
  <c r="J220" i="10"/>
  <c r="K220" i="10"/>
  <c r="L220" i="10" l="1"/>
  <c r="A222" i="10"/>
  <c r="E221" i="10"/>
  <c r="F221" i="10"/>
  <c r="J221" i="10"/>
  <c r="K221" i="10"/>
  <c r="L221" i="10" l="1"/>
  <c r="A223" i="10"/>
  <c r="F222" i="10"/>
  <c r="E222" i="10"/>
  <c r="J222" i="10"/>
  <c r="K222" i="10"/>
  <c r="L222" i="10" l="1"/>
  <c r="E223" i="10"/>
  <c r="A224" i="10"/>
  <c r="F223" i="10"/>
  <c r="J223" i="10"/>
  <c r="K223" i="10"/>
  <c r="L223" i="10" l="1"/>
  <c r="A225" i="10"/>
  <c r="F224" i="10"/>
  <c r="E224" i="10"/>
  <c r="J224" i="10"/>
  <c r="K224" i="10"/>
  <c r="L224" i="10" l="1"/>
  <c r="F225" i="10"/>
  <c r="E225" i="10"/>
  <c r="A226" i="10"/>
  <c r="J225" i="10"/>
  <c r="K225" i="10"/>
  <c r="L225" i="10" l="1"/>
  <c r="E226" i="10"/>
  <c r="A227" i="10"/>
  <c r="F226" i="10"/>
  <c r="J226" i="10"/>
  <c r="K226" i="10"/>
  <c r="L226" i="10" l="1"/>
  <c r="A228" i="10"/>
  <c r="F227" i="10"/>
  <c r="E227" i="10"/>
  <c r="J227" i="10"/>
  <c r="K227" i="10"/>
  <c r="L227" i="10" l="1"/>
  <c r="A229" i="10"/>
  <c r="F228" i="10"/>
  <c r="E228" i="10"/>
  <c r="J228" i="10"/>
  <c r="K228" i="10"/>
  <c r="L228" i="10" l="1"/>
  <c r="A230" i="10"/>
  <c r="F229" i="10"/>
  <c r="E229" i="10"/>
  <c r="J229" i="10"/>
  <c r="K229" i="10"/>
  <c r="L229" i="10" l="1"/>
  <c r="A231" i="10"/>
  <c r="F230" i="10"/>
  <c r="E230" i="10"/>
  <c r="J230" i="10"/>
  <c r="K230" i="10"/>
  <c r="L230" i="10" l="1"/>
  <c r="A232" i="10"/>
  <c r="E231" i="10"/>
  <c r="F231" i="10"/>
  <c r="J231" i="10"/>
  <c r="K231" i="10"/>
  <c r="L231" i="10" l="1"/>
  <c r="F232" i="10"/>
  <c r="E232" i="10"/>
  <c r="A233" i="10"/>
  <c r="J232" i="10"/>
  <c r="K232" i="10"/>
  <c r="L232" i="10" l="1"/>
  <c r="A234" i="10"/>
  <c r="F233" i="10"/>
  <c r="E233" i="10"/>
  <c r="J233" i="10"/>
  <c r="K233" i="10"/>
  <c r="L233" i="10" l="1"/>
  <c r="F234" i="10"/>
  <c r="E234" i="10"/>
  <c r="A235" i="10"/>
  <c r="J234" i="10"/>
  <c r="K234" i="10"/>
  <c r="L234" i="10" l="1"/>
  <c r="A236" i="10"/>
  <c r="F235" i="10"/>
  <c r="E235" i="10"/>
  <c r="J235" i="10"/>
  <c r="K235" i="10"/>
  <c r="L235" i="10" l="1"/>
  <c r="A237" i="10"/>
  <c r="F236" i="10"/>
  <c r="E236" i="10"/>
  <c r="J236" i="10"/>
  <c r="K236" i="10"/>
  <c r="L236" i="10" l="1"/>
  <c r="A238" i="10"/>
  <c r="E237" i="10"/>
  <c r="F237" i="10"/>
  <c r="J237" i="10"/>
  <c r="K237" i="10"/>
  <c r="L237" i="10" l="1"/>
  <c r="A239" i="10"/>
  <c r="F238" i="10"/>
  <c r="E238" i="10"/>
  <c r="J238" i="10"/>
  <c r="K238" i="10"/>
  <c r="L238" i="10" l="1"/>
  <c r="E239" i="10"/>
  <c r="A240" i="10"/>
  <c r="F239" i="10"/>
  <c r="J239" i="10"/>
  <c r="K239" i="10"/>
  <c r="L239" i="10" l="1"/>
  <c r="A241" i="10"/>
  <c r="E240" i="10"/>
  <c r="F240" i="10"/>
  <c r="J240" i="10"/>
  <c r="K240" i="10"/>
  <c r="L240" i="10" l="1"/>
  <c r="F241" i="10"/>
  <c r="E241" i="10"/>
  <c r="A242" i="10"/>
  <c r="J241" i="10"/>
  <c r="K241" i="10"/>
  <c r="L241" i="10" l="1"/>
  <c r="F242" i="10"/>
  <c r="E242" i="10"/>
  <c r="A243" i="10"/>
  <c r="J242" i="10"/>
  <c r="K242" i="10"/>
  <c r="L242" i="10" l="1"/>
  <c r="A244" i="10"/>
  <c r="F243" i="10"/>
  <c r="E243" i="10"/>
  <c r="J243" i="10"/>
  <c r="K243" i="10"/>
  <c r="L243" i="10" l="1"/>
  <c r="A245" i="10"/>
  <c r="F244" i="10"/>
  <c r="E244" i="10"/>
  <c r="J244" i="10"/>
  <c r="K244" i="10"/>
  <c r="L244" i="10" l="1"/>
  <c r="A246" i="10"/>
  <c r="F245" i="10"/>
  <c r="E245" i="10"/>
  <c r="J245" i="10"/>
  <c r="K245" i="10"/>
  <c r="L245" i="10" l="1"/>
  <c r="A247" i="10"/>
  <c r="F246" i="10"/>
  <c r="E246" i="10"/>
  <c r="J246" i="10"/>
  <c r="K246" i="10"/>
  <c r="L246" i="10" l="1"/>
  <c r="A248" i="10"/>
  <c r="E247" i="10"/>
  <c r="F247" i="10"/>
  <c r="J247" i="10"/>
  <c r="K247" i="10"/>
  <c r="L247" i="10" l="1"/>
  <c r="F248" i="10"/>
  <c r="E248" i="10"/>
  <c r="A249" i="10"/>
  <c r="J248" i="10"/>
  <c r="K248" i="10"/>
  <c r="L248" i="10" l="1"/>
  <c r="F249" i="10"/>
  <c r="F50" i="10" s="1"/>
  <c r="E249" i="10"/>
  <c r="E50" i="10" s="1"/>
  <c r="J249" i="10"/>
  <c r="K249" i="10"/>
  <c r="G249" i="10" l="1"/>
  <c r="L249" i="10"/>
  <c r="L2" i="10" s="1"/>
  <c r="L4" i="10" s="1"/>
  <c r="G171" i="10"/>
  <c r="G172" i="10"/>
  <c r="G173" i="10"/>
  <c r="G174" i="10"/>
  <c r="G175" i="10"/>
  <c r="G176" i="10"/>
  <c r="G177" i="10"/>
  <c r="G178" i="10"/>
  <c r="G179" i="10"/>
  <c r="G180" i="10"/>
  <c r="G181" i="10"/>
  <c r="G182" i="10"/>
  <c r="G183" i="10"/>
  <c r="G184" i="10"/>
  <c r="G185" i="10"/>
  <c r="G186" i="10"/>
  <c r="G187" i="10"/>
  <c r="G188" i="10"/>
  <c r="G189" i="10"/>
  <c r="G190" i="10"/>
  <c r="G191" i="10"/>
  <c r="G192" i="10"/>
  <c r="G193" i="10"/>
  <c r="G194" i="10"/>
  <c r="G195" i="10"/>
  <c r="G196" i="10"/>
  <c r="G197" i="10"/>
  <c r="G198" i="10"/>
  <c r="G199" i="10"/>
  <c r="G200" i="10"/>
  <c r="G201" i="10"/>
  <c r="G202" i="10"/>
  <c r="G203" i="10"/>
  <c r="G204" i="10"/>
  <c r="G205" i="10"/>
  <c r="G206" i="10"/>
  <c r="G207" i="10"/>
  <c r="G208" i="10"/>
  <c r="G209" i="10"/>
  <c r="G210" i="10"/>
  <c r="G211" i="10"/>
  <c r="G212" i="10"/>
  <c r="G213" i="10"/>
  <c r="G214" i="10"/>
  <c r="G215" i="10"/>
  <c r="G216" i="10"/>
  <c r="G217" i="10"/>
  <c r="G218" i="10"/>
  <c r="G219" i="10"/>
  <c r="G220" i="10"/>
  <c r="G221" i="10"/>
  <c r="G222" i="10"/>
  <c r="G223" i="10"/>
  <c r="G224" i="10"/>
  <c r="G225" i="10"/>
  <c r="G226" i="10"/>
  <c r="G227" i="10"/>
  <c r="G228" i="10"/>
  <c r="G229" i="10"/>
  <c r="G230" i="10"/>
  <c r="G231" i="10"/>
  <c r="G232" i="10"/>
  <c r="G233" i="10"/>
  <c r="G234" i="10"/>
  <c r="G235" i="10"/>
  <c r="G236" i="10"/>
  <c r="G237" i="10"/>
  <c r="G238" i="10"/>
  <c r="G239" i="10"/>
  <c r="G240" i="10"/>
  <c r="G241" i="10"/>
  <c r="G242" i="10"/>
  <c r="G243" i="10"/>
  <c r="G244" i="10"/>
  <c r="G245" i="10"/>
  <c r="G246" i="10"/>
  <c r="G247" i="10"/>
  <c r="G248" i="10"/>
  <c r="G151" i="10"/>
  <c r="G152" i="10"/>
  <c r="G153" i="10"/>
  <c r="G154" i="10"/>
  <c r="G155" i="10"/>
  <c r="G156" i="10"/>
  <c r="G157" i="10"/>
  <c r="G158" i="10"/>
  <c r="G159" i="10"/>
  <c r="G160" i="10"/>
  <c r="G161" i="10"/>
  <c r="G162" i="10"/>
  <c r="G163" i="10"/>
  <c r="G164" i="10"/>
  <c r="G165" i="10"/>
  <c r="G166" i="10"/>
  <c r="G167" i="10"/>
  <c r="G168" i="10"/>
  <c r="G169" i="10"/>
  <c r="G17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125" i="10"/>
  <c r="G126" i="10"/>
  <c r="G127" i="10"/>
  <c r="G128" i="10"/>
  <c r="G129" i="10"/>
  <c r="G130" i="10"/>
  <c r="G131" i="10"/>
  <c r="G132" i="10"/>
  <c r="G133" i="10"/>
  <c r="G134" i="10"/>
  <c r="G135" i="10"/>
  <c r="G136" i="10"/>
  <c r="G137" i="10"/>
  <c r="G138" i="10"/>
  <c r="G139" i="10"/>
  <c r="G140" i="10"/>
  <c r="G141" i="10"/>
  <c r="G142" i="10"/>
  <c r="G143" i="10"/>
  <c r="G144" i="10"/>
  <c r="G145" i="10"/>
  <c r="G146" i="10"/>
  <c r="G147" i="10"/>
  <c r="G148" i="10"/>
  <c r="G149" i="10"/>
  <c r="G150" i="10"/>
  <c r="L3" i="10" l="1"/>
  <c r="M171" i="10" s="1"/>
  <c r="O171" i="10" s="1"/>
  <c r="P171" i="10" l="1"/>
  <c r="Q171" i="10" s="1"/>
  <c r="M105" i="10"/>
  <c r="O105" i="10" s="1"/>
  <c r="P105" i="10" s="1"/>
  <c r="M113" i="10"/>
  <c r="O113" i="10" s="1"/>
  <c r="P113" i="10" s="1"/>
  <c r="M89" i="10"/>
  <c r="O89" i="10" s="1"/>
  <c r="P89" i="10" s="1"/>
  <c r="M81" i="10"/>
  <c r="O81" i="10" s="1"/>
  <c r="P81" i="10" s="1"/>
  <c r="M97" i="10"/>
  <c r="O97" i="10" s="1"/>
  <c r="P97" i="10" s="1"/>
  <c r="M145" i="10"/>
  <c r="O145" i="10" s="1"/>
  <c r="P145" i="10" s="1"/>
  <c r="M73" i="10"/>
  <c r="O73" i="10" s="1"/>
  <c r="P73" i="10" s="1"/>
  <c r="M121" i="10"/>
  <c r="O121" i="10" s="1"/>
  <c r="P121" i="10" s="1"/>
  <c r="M137" i="10"/>
  <c r="O137" i="10" s="1"/>
  <c r="P137" i="10" s="1"/>
  <c r="M129" i="10"/>
  <c r="O129" i="10" s="1"/>
  <c r="P129" i="10" s="1"/>
  <c r="M62" i="10"/>
  <c r="O62" i="10" s="1"/>
  <c r="P62" i="10" s="1"/>
  <c r="M53" i="10"/>
  <c r="O53" i="10" s="1"/>
  <c r="P53" i="10" s="1"/>
  <c r="M144" i="10"/>
  <c r="O144" i="10" s="1"/>
  <c r="P144" i="10" s="1"/>
  <c r="M136" i="10"/>
  <c r="O136" i="10" s="1"/>
  <c r="P136" i="10" s="1"/>
  <c r="M128" i="10"/>
  <c r="O128" i="10" s="1"/>
  <c r="P128" i="10" s="1"/>
  <c r="M120" i="10"/>
  <c r="O120" i="10" s="1"/>
  <c r="P120" i="10" s="1"/>
  <c r="M112" i="10"/>
  <c r="O112" i="10" s="1"/>
  <c r="P112" i="10" s="1"/>
  <c r="M104" i="10"/>
  <c r="O104" i="10" s="1"/>
  <c r="P104" i="10" s="1"/>
  <c r="M96" i="10"/>
  <c r="O96" i="10" s="1"/>
  <c r="P96" i="10" s="1"/>
  <c r="M88" i="10"/>
  <c r="O88" i="10" s="1"/>
  <c r="P88" i="10" s="1"/>
  <c r="M80" i="10"/>
  <c r="O80" i="10" s="1"/>
  <c r="P80" i="10" s="1"/>
  <c r="M72" i="10"/>
  <c r="O72" i="10" s="1"/>
  <c r="P72" i="10" s="1"/>
  <c r="M60" i="10"/>
  <c r="O60" i="10" s="1"/>
  <c r="P60" i="10" s="1"/>
  <c r="M54" i="10"/>
  <c r="O54" i="10" s="1"/>
  <c r="P54" i="10" s="1"/>
  <c r="M168" i="10"/>
  <c r="O168" i="10" s="1"/>
  <c r="M160" i="10"/>
  <c r="O160" i="10" s="1"/>
  <c r="M152" i="10"/>
  <c r="O152" i="10" s="1"/>
  <c r="M243" i="10"/>
  <c r="O243" i="10" s="1"/>
  <c r="M235" i="10"/>
  <c r="O235" i="10" s="1"/>
  <c r="M227" i="10"/>
  <c r="O227" i="10" s="1"/>
  <c r="M219" i="10"/>
  <c r="O219" i="10" s="1"/>
  <c r="M211" i="10"/>
  <c r="O211" i="10" s="1"/>
  <c r="M203" i="10"/>
  <c r="O203" i="10" s="1"/>
  <c r="M194" i="10"/>
  <c r="O194" i="10" s="1"/>
  <c r="M185" i="10"/>
  <c r="O185" i="10" s="1"/>
  <c r="M153" i="10"/>
  <c r="O153" i="10" s="1"/>
  <c r="M228" i="10"/>
  <c r="O228" i="10" s="1"/>
  <c r="M186" i="10"/>
  <c r="O186" i="10" s="1"/>
  <c r="M135" i="10"/>
  <c r="O135" i="10" s="1"/>
  <c r="P135" i="10" s="1"/>
  <c r="M119" i="10"/>
  <c r="O119" i="10" s="1"/>
  <c r="P119" i="10" s="1"/>
  <c r="M103" i="10"/>
  <c r="O103" i="10" s="1"/>
  <c r="P103" i="10" s="1"/>
  <c r="M87" i="10"/>
  <c r="O87" i="10" s="1"/>
  <c r="P87" i="10" s="1"/>
  <c r="M79" i="10"/>
  <c r="O79" i="10" s="1"/>
  <c r="P79" i="10" s="1"/>
  <c r="M71" i="10"/>
  <c r="O71" i="10" s="1"/>
  <c r="P71" i="10" s="1"/>
  <c r="M59" i="10"/>
  <c r="O59" i="10" s="1"/>
  <c r="P59" i="10" s="1"/>
  <c r="M58" i="10"/>
  <c r="O58" i="10" s="1"/>
  <c r="P58" i="10" s="1"/>
  <c r="M167" i="10"/>
  <c r="O167" i="10" s="1"/>
  <c r="M159" i="10"/>
  <c r="O159" i="10" s="1"/>
  <c r="M151" i="10"/>
  <c r="O151" i="10" s="1"/>
  <c r="M242" i="10"/>
  <c r="O242" i="10" s="1"/>
  <c r="M234" i="10"/>
  <c r="O234" i="10" s="1"/>
  <c r="M226" i="10"/>
  <c r="O226" i="10" s="1"/>
  <c r="M218" i="10"/>
  <c r="O218" i="10" s="1"/>
  <c r="M210" i="10"/>
  <c r="O210" i="10" s="1"/>
  <c r="M202" i="10"/>
  <c r="O202" i="10" s="1"/>
  <c r="M193" i="10"/>
  <c r="O193" i="10" s="1"/>
  <c r="M184" i="10"/>
  <c r="O184" i="10" s="1"/>
  <c r="M150" i="10"/>
  <c r="O150" i="10" s="1"/>
  <c r="P150" i="10" s="1"/>
  <c r="M142" i="10"/>
  <c r="O142" i="10" s="1"/>
  <c r="P142" i="10" s="1"/>
  <c r="M134" i="10"/>
  <c r="O134" i="10" s="1"/>
  <c r="P134" i="10" s="1"/>
  <c r="M126" i="10"/>
  <c r="O126" i="10" s="1"/>
  <c r="P126" i="10" s="1"/>
  <c r="M118" i="10"/>
  <c r="O118" i="10" s="1"/>
  <c r="P118" i="10" s="1"/>
  <c r="M110" i="10"/>
  <c r="O110" i="10" s="1"/>
  <c r="P110" i="10" s="1"/>
  <c r="M102" i="10"/>
  <c r="O102" i="10" s="1"/>
  <c r="P102" i="10" s="1"/>
  <c r="M94" i="10"/>
  <c r="O94" i="10" s="1"/>
  <c r="P94" i="10" s="1"/>
  <c r="M86" i="10"/>
  <c r="O86" i="10" s="1"/>
  <c r="P86" i="10" s="1"/>
  <c r="M78" i="10"/>
  <c r="O78" i="10" s="1"/>
  <c r="P78" i="10" s="1"/>
  <c r="M70" i="10"/>
  <c r="O70" i="10" s="1"/>
  <c r="P70" i="10" s="1"/>
  <c r="M63" i="10"/>
  <c r="O63" i="10" s="1"/>
  <c r="P63" i="10" s="1"/>
  <c r="M56" i="10"/>
  <c r="O56" i="10" s="1"/>
  <c r="P56" i="10" s="1"/>
  <c r="M166" i="10"/>
  <c r="O166" i="10" s="1"/>
  <c r="M158" i="10"/>
  <c r="O158" i="10" s="1"/>
  <c r="M249" i="10"/>
  <c r="O249" i="10" s="1"/>
  <c r="M241" i="10"/>
  <c r="O241" i="10" s="1"/>
  <c r="M233" i="10"/>
  <c r="O233" i="10" s="1"/>
  <c r="M225" i="10"/>
  <c r="O225" i="10" s="1"/>
  <c r="M217" i="10"/>
  <c r="O217" i="10" s="1"/>
  <c r="M209" i="10"/>
  <c r="O209" i="10" s="1"/>
  <c r="M201" i="10"/>
  <c r="O201" i="10" s="1"/>
  <c r="M192" i="10"/>
  <c r="O192" i="10" s="1"/>
  <c r="M181" i="10"/>
  <c r="O181" i="10" s="1"/>
  <c r="M212" i="10"/>
  <c r="O212" i="10" s="1"/>
  <c r="M143" i="10"/>
  <c r="O143" i="10" s="1"/>
  <c r="P143" i="10" s="1"/>
  <c r="M111" i="10"/>
  <c r="O111" i="10" s="1"/>
  <c r="P111" i="10" s="1"/>
  <c r="M133" i="10"/>
  <c r="O133" i="10" s="1"/>
  <c r="P133" i="10" s="1"/>
  <c r="M117" i="10"/>
  <c r="O117" i="10" s="1"/>
  <c r="P117" i="10" s="1"/>
  <c r="M101" i="10"/>
  <c r="O101" i="10" s="1"/>
  <c r="P101" i="10" s="1"/>
  <c r="M93" i="10"/>
  <c r="O93" i="10" s="1"/>
  <c r="P93" i="10" s="1"/>
  <c r="M85" i="10"/>
  <c r="O85" i="10" s="1"/>
  <c r="P85" i="10" s="1"/>
  <c r="M77" i="10"/>
  <c r="O77" i="10" s="1"/>
  <c r="P77" i="10" s="1"/>
  <c r="M69" i="10"/>
  <c r="O69" i="10" s="1"/>
  <c r="P69" i="10" s="1"/>
  <c r="M57" i="10"/>
  <c r="O57" i="10" s="1"/>
  <c r="P57" i="10" s="1"/>
  <c r="M64" i="10"/>
  <c r="O64" i="10" s="1"/>
  <c r="P64" i="10" s="1"/>
  <c r="M165" i="10"/>
  <c r="O165" i="10" s="1"/>
  <c r="M157" i="10"/>
  <c r="O157" i="10" s="1"/>
  <c r="M248" i="10"/>
  <c r="O248" i="10" s="1"/>
  <c r="M240" i="10"/>
  <c r="O240" i="10" s="1"/>
  <c r="M232" i="10"/>
  <c r="O232" i="10" s="1"/>
  <c r="M224" i="10"/>
  <c r="O224" i="10" s="1"/>
  <c r="M216" i="10"/>
  <c r="O216" i="10" s="1"/>
  <c r="M208" i="10"/>
  <c r="O208" i="10" s="1"/>
  <c r="M200" i="10"/>
  <c r="O200" i="10" s="1"/>
  <c r="M190" i="10"/>
  <c r="O190" i="10" s="1"/>
  <c r="M180" i="10"/>
  <c r="O180" i="10" s="1"/>
  <c r="M169" i="10"/>
  <c r="O169" i="10" s="1"/>
  <c r="M236" i="10"/>
  <c r="O236" i="10" s="1"/>
  <c r="M195" i="10"/>
  <c r="O195" i="10" s="1"/>
  <c r="M127" i="10"/>
  <c r="O127" i="10" s="1"/>
  <c r="P127" i="10" s="1"/>
  <c r="M95" i="10"/>
  <c r="O95" i="10" s="1"/>
  <c r="P95" i="10" s="1"/>
  <c r="M149" i="10"/>
  <c r="O149" i="10" s="1"/>
  <c r="P149" i="10" s="1"/>
  <c r="M141" i="10"/>
  <c r="O141" i="10" s="1"/>
  <c r="P141" i="10" s="1"/>
  <c r="M125" i="10"/>
  <c r="O125" i="10" s="1"/>
  <c r="P125" i="10" s="1"/>
  <c r="M109" i="10"/>
  <c r="O109" i="10" s="1"/>
  <c r="P109" i="10" s="1"/>
  <c r="M148" i="10"/>
  <c r="O148" i="10" s="1"/>
  <c r="P148" i="10" s="1"/>
  <c r="M140" i="10"/>
  <c r="O140" i="10" s="1"/>
  <c r="P140" i="10" s="1"/>
  <c r="M132" i="10"/>
  <c r="O132" i="10" s="1"/>
  <c r="P132" i="10" s="1"/>
  <c r="M124" i="10"/>
  <c r="O124" i="10" s="1"/>
  <c r="P124" i="10" s="1"/>
  <c r="M116" i="10"/>
  <c r="O116" i="10" s="1"/>
  <c r="P116" i="10" s="1"/>
  <c r="M108" i="10"/>
  <c r="O108" i="10" s="1"/>
  <c r="P108" i="10" s="1"/>
  <c r="M100" i="10"/>
  <c r="O100" i="10" s="1"/>
  <c r="P100" i="10" s="1"/>
  <c r="M92" i="10"/>
  <c r="O92" i="10" s="1"/>
  <c r="P92" i="10" s="1"/>
  <c r="M84" i="10"/>
  <c r="O84" i="10" s="1"/>
  <c r="P84" i="10" s="1"/>
  <c r="M76" i="10"/>
  <c r="O76" i="10" s="1"/>
  <c r="P76" i="10" s="1"/>
  <c r="M68" i="10"/>
  <c r="O68" i="10" s="1"/>
  <c r="P68" i="10" s="1"/>
  <c r="M61" i="10"/>
  <c r="O61" i="10" s="1"/>
  <c r="P61" i="10" s="1"/>
  <c r="M65" i="10"/>
  <c r="O65" i="10" s="1"/>
  <c r="P65" i="10" s="1"/>
  <c r="M164" i="10"/>
  <c r="O164" i="10" s="1"/>
  <c r="M156" i="10"/>
  <c r="O156" i="10" s="1"/>
  <c r="M247" i="10"/>
  <c r="O247" i="10" s="1"/>
  <c r="M239" i="10"/>
  <c r="O239" i="10" s="1"/>
  <c r="M231" i="10"/>
  <c r="O231" i="10" s="1"/>
  <c r="M223" i="10"/>
  <c r="O223" i="10" s="1"/>
  <c r="M215" i="10"/>
  <c r="O215" i="10" s="1"/>
  <c r="M207" i="10"/>
  <c r="O207" i="10" s="1"/>
  <c r="M198" i="10"/>
  <c r="O198" i="10" s="1"/>
  <c r="M189" i="10"/>
  <c r="O189" i="10" s="1"/>
  <c r="M179" i="10"/>
  <c r="O179" i="10" s="1"/>
  <c r="M161" i="10"/>
  <c r="O161" i="10" s="1"/>
  <c r="M244" i="10"/>
  <c r="O244" i="10" s="1"/>
  <c r="M220" i="10"/>
  <c r="O220" i="10" s="1"/>
  <c r="M204" i="10"/>
  <c r="O204" i="10" s="1"/>
  <c r="M147" i="10"/>
  <c r="O147" i="10" s="1"/>
  <c r="P147" i="10" s="1"/>
  <c r="M139" i="10"/>
  <c r="O139" i="10" s="1"/>
  <c r="P139" i="10" s="1"/>
  <c r="M131" i="10"/>
  <c r="O131" i="10" s="1"/>
  <c r="P131" i="10" s="1"/>
  <c r="M123" i="10"/>
  <c r="O123" i="10" s="1"/>
  <c r="P123" i="10" s="1"/>
  <c r="M115" i="10"/>
  <c r="O115" i="10" s="1"/>
  <c r="P115" i="10" s="1"/>
  <c r="M107" i="10"/>
  <c r="O107" i="10" s="1"/>
  <c r="P107" i="10" s="1"/>
  <c r="M99" i="10"/>
  <c r="O99" i="10" s="1"/>
  <c r="P99" i="10" s="1"/>
  <c r="M91" i="10"/>
  <c r="O91" i="10" s="1"/>
  <c r="P91" i="10" s="1"/>
  <c r="M83" i="10"/>
  <c r="O83" i="10" s="1"/>
  <c r="P83" i="10" s="1"/>
  <c r="M75" i="10"/>
  <c r="O75" i="10" s="1"/>
  <c r="P75" i="10" s="1"/>
  <c r="M67" i="10"/>
  <c r="O67" i="10" s="1"/>
  <c r="P67" i="10" s="1"/>
  <c r="M55" i="10"/>
  <c r="O55" i="10" s="1"/>
  <c r="P55" i="10" s="1"/>
  <c r="M52" i="10"/>
  <c r="O52" i="10" s="1"/>
  <c r="P52" i="10" s="1"/>
  <c r="M163" i="10"/>
  <c r="O163" i="10" s="1"/>
  <c r="M155" i="10"/>
  <c r="O155" i="10" s="1"/>
  <c r="M246" i="10"/>
  <c r="O246" i="10" s="1"/>
  <c r="M238" i="10"/>
  <c r="O238" i="10" s="1"/>
  <c r="M230" i="10"/>
  <c r="O230" i="10" s="1"/>
  <c r="M222" i="10"/>
  <c r="O222" i="10" s="1"/>
  <c r="M214" i="10"/>
  <c r="O214" i="10" s="1"/>
  <c r="M206" i="10"/>
  <c r="O206" i="10" s="1"/>
  <c r="M197" i="10"/>
  <c r="O197" i="10" s="1"/>
  <c r="M188" i="10"/>
  <c r="O188" i="10" s="1"/>
  <c r="M178" i="10"/>
  <c r="O178" i="10" s="1"/>
  <c r="M146" i="10"/>
  <c r="O146" i="10" s="1"/>
  <c r="P146" i="10" s="1"/>
  <c r="M138" i="10"/>
  <c r="O138" i="10" s="1"/>
  <c r="P138" i="10" s="1"/>
  <c r="M130" i="10"/>
  <c r="O130" i="10" s="1"/>
  <c r="P130" i="10" s="1"/>
  <c r="M122" i="10"/>
  <c r="O122" i="10" s="1"/>
  <c r="P122" i="10" s="1"/>
  <c r="M114" i="10"/>
  <c r="O114" i="10" s="1"/>
  <c r="P114" i="10" s="1"/>
  <c r="M106" i="10"/>
  <c r="O106" i="10" s="1"/>
  <c r="P106" i="10" s="1"/>
  <c r="M98" i="10"/>
  <c r="O98" i="10" s="1"/>
  <c r="P98" i="10" s="1"/>
  <c r="M90" i="10"/>
  <c r="O90" i="10" s="1"/>
  <c r="P90" i="10" s="1"/>
  <c r="M82" i="10"/>
  <c r="O82" i="10" s="1"/>
  <c r="P82" i="10" s="1"/>
  <c r="M74" i="10"/>
  <c r="O74" i="10" s="1"/>
  <c r="P74" i="10" s="1"/>
  <c r="M66" i="10"/>
  <c r="O66" i="10" s="1"/>
  <c r="P66" i="10" s="1"/>
  <c r="M51" i="10"/>
  <c r="O51" i="10" s="1"/>
  <c r="P51" i="10" s="1"/>
  <c r="M170" i="10"/>
  <c r="O170" i="10" s="1"/>
  <c r="M162" i="10"/>
  <c r="O162" i="10" s="1"/>
  <c r="M154" i="10"/>
  <c r="O154" i="10" s="1"/>
  <c r="M245" i="10"/>
  <c r="O245" i="10" s="1"/>
  <c r="M237" i="10"/>
  <c r="O237" i="10" s="1"/>
  <c r="M229" i="10"/>
  <c r="O229" i="10" s="1"/>
  <c r="M221" i="10"/>
  <c r="O221" i="10" s="1"/>
  <c r="M213" i="10"/>
  <c r="O213" i="10" s="1"/>
  <c r="M205" i="10"/>
  <c r="O205" i="10" s="1"/>
  <c r="M196" i="10"/>
  <c r="O196" i="10" s="1"/>
  <c r="M187" i="10"/>
  <c r="O187" i="10" s="1"/>
  <c r="M177" i="10"/>
  <c r="O177" i="10" s="1"/>
  <c r="M176" i="10"/>
  <c r="O176" i="10" s="1"/>
  <c r="M199" i="10"/>
  <c r="O199" i="10" s="1"/>
  <c r="M191" i="10"/>
  <c r="O191" i="10" s="1"/>
  <c r="M183" i="10"/>
  <c r="O183" i="10" s="1"/>
  <c r="M175" i="10"/>
  <c r="O175" i="10" s="1"/>
  <c r="M182" i="10"/>
  <c r="O182" i="10" s="1"/>
  <c r="M174" i="10"/>
  <c r="O174" i="10" s="1"/>
  <c r="M173" i="10"/>
  <c r="O173" i="10" s="1"/>
  <c r="M172" i="10"/>
  <c r="O172" i="10" s="1"/>
  <c r="P230" i="10" l="1"/>
  <c r="Q230" i="10" s="1"/>
  <c r="P201" i="10"/>
  <c r="Q201" i="10" s="1"/>
  <c r="P219" i="10"/>
  <c r="Q219" i="10" s="1"/>
  <c r="P238" i="10"/>
  <c r="Q238" i="10" s="1"/>
  <c r="P209" i="10"/>
  <c r="Q209" i="10" s="1"/>
  <c r="P227" i="10"/>
  <c r="Q227" i="10" s="1"/>
  <c r="P246" i="10"/>
  <c r="Q246" i="10" s="1"/>
  <c r="P204" i="10"/>
  <c r="Q204" i="10" s="1"/>
  <c r="P217" i="10"/>
  <c r="Q217" i="10" s="1"/>
  <c r="P235" i="10"/>
  <c r="Q235" i="10" s="1"/>
  <c r="P220" i="10"/>
  <c r="Q220" i="10" s="1"/>
  <c r="P225" i="10"/>
  <c r="Q225" i="10" s="1"/>
  <c r="P243" i="10"/>
  <c r="Q243" i="10" s="1"/>
  <c r="P196" i="10"/>
  <c r="Q196" i="10" s="1"/>
  <c r="P244" i="10"/>
  <c r="Q244" i="10" s="1"/>
  <c r="P195" i="10"/>
  <c r="Q195" i="10" s="1"/>
  <c r="P233" i="10"/>
  <c r="Q233" i="10" s="1"/>
  <c r="P236" i="10"/>
  <c r="Q236" i="10" s="1"/>
  <c r="P241" i="10"/>
  <c r="Q241" i="10" s="1"/>
  <c r="P213" i="10"/>
  <c r="Q213" i="10" s="1"/>
  <c r="P205" i="10"/>
  <c r="Q205" i="10" s="1"/>
  <c r="P189" i="10"/>
  <c r="Q189" i="10" s="1"/>
  <c r="P193" i="10"/>
  <c r="Q193" i="10" s="1"/>
  <c r="P187" i="10"/>
  <c r="Q187" i="10" s="1"/>
  <c r="P229" i="10"/>
  <c r="Q229" i="10" s="1"/>
  <c r="P198" i="10"/>
  <c r="Q198" i="10" s="1"/>
  <c r="P190" i="10"/>
  <c r="Q190" i="10" s="1"/>
  <c r="P202" i="10"/>
  <c r="Q202" i="10" s="1"/>
  <c r="P210" i="10"/>
  <c r="Q210" i="10" s="1"/>
  <c r="P186" i="10"/>
  <c r="Q186" i="10" s="1"/>
  <c r="P245" i="10"/>
  <c r="Q245" i="10" s="1"/>
  <c r="P215" i="10"/>
  <c r="Q215" i="10" s="1"/>
  <c r="P208" i="10"/>
  <c r="Q208" i="10" s="1"/>
  <c r="P218" i="10"/>
  <c r="Q218" i="10" s="1"/>
  <c r="P228" i="10"/>
  <c r="Q228" i="10" s="1"/>
  <c r="P221" i="10"/>
  <c r="Q221" i="10" s="1"/>
  <c r="P200" i="10"/>
  <c r="Q200" i="10" s="1"/>
  <c r="P188" i="10"/>
  <c r="Q188" i="10" s="1"/>
  <c r="P223" i="10"/>
  <c r="Q223" i="10" s="1"/>
  <c r="P216" i="10"/>
  <c r="Q216" i="10" s="1"/>
  <c r="P226" i="10"/>
  <c r="Q226" i="10" s="1"/>
  <c r="P199" i="10"/>
  <c r="Q199" i="10" s="1"/>
  <c r="P249" i="10"/>
  <c r="Q249" i="10" s="1"/>
  <c r="P197" i="10"/>
  <c r="Q197" i="10" s="1"/>
  <c r="P231" i="10"/>
  <c r="Q231" i="10" s="1"/>
  <c r="P224" i="10"/>
  <c r="Q224" i="10" s="1"/>
  <c r="P234" i="10"/>
  <c r="Q234" i="10" s="1"/>
  <c r="P237" i="10"/>
  <c r="Q237" i="10" s="1"/>
  <c r="P206" i="10"/>
  <c r="Q206" i="10" s="1"/>
  <c r="P239" i="10"/>
  <c r="Q239" i="10" s="1"/>
  <c r="P232" i="10"/>
  <c r="Q232" i="10" s="1"/>
  <c r="P212" i="10"/>
  <c r="Q212" i="10" s="1"/>
  <c r="P242" i="10"/>
  <c r="Q242" i="10" s="1"/>
  <c r="P194" i="10"/>
  <c r="Q194" i="10" s="1"/>
  <c r="P214" i="10"/>
  <c r="Q214" i="10" s="1"/>
  <c r="P247" i="10"/>
  <c r="Q247" i="10" s="1"/>
  <c r="P240" i="10"/>
  <c r="Q240" i="10" s="1"/>
  <c r="P203" i="10"/>
  <c r="Q203" i="10" s="1"/>
  <c r="P207" i="10"/>
  <c r="Q207" i="10" s="1"/>
  <c r="P191" i="10"/>
  <c r="Q191" i="10" s="1"/>
  <c r="P222" i="10"/>
  <c r="Q222" i="10" s="1"/>
  <c r="P248" i="10"/>
  <c r="Q248" i="10" s="1"/>
  <c r="P192" i="10"/>
  <c r="Q192" i="10" s="1"/>
  <c r="P211" i="10"/>
  <c r="Q211" i="10" s="1"/>
  <c r="P182" i="10"/>
  <c r="Q182" i="10" s="1"/>
  <c r="P185" i="10"/>
  <c r="Q185" i="10" s="1"/>
  <c r="P183" i="10"/>
  <c r="Q183" i="10" s="1"/>
  <c r="P181" i="10"/>
  <c r="Q181" i="10" s="1"/>
  <c r="P184" i="10"/>
  <c r="Q184" i="10" s="1"/>
  <c r="P172" i="10"/>
  <c r="Q172" i="10" s="1"/>
  <c r="P177" i="10"/>
  <c r="Q177" i="10" s="1"/>
  <c r="P174" i="10"/>
  <c r="Q174" i="10" s="1"/>
  <c r="P154" i="10"/>
  <c r="Q154" i="10" s="1"/>
  <c r="P155" i="10"/>
  <c r="Q155" i="10" s="1"/>
  <c r="P153" i="10"/>
  <c r="Q153" i="10" s="1"/>
  <c r="P152" i="10"/>
  <c r="Q152" i="10" s="1"/>
  <c r="P176" i="10"/>
  <c r="Q176" i="10" s="1"/>
  <c r="P178" i="10"/>
  <c r="Q178" i="10" s="1"/>
  <c r="P162" i="10"/>
  <c r="Q162" i="10" s="1"/>
  <c r="P161" i="10"/>
  <c r="Q161" i="10" s="1"/>
  <c r="P160" i="10"/>
  <c r="Q160" i="10" s="1"/>
  <c r="P163" i="10"/>
  <c r="Q163" i="10" s="1"/>
  <c r="P175" i="10"/>
  <c r="Q175" i="10" s="1"/>
  <c r="P170" i="10"/>
  <c r="Q170" i="10" s="1"/>
  <c r="P179" i="10"/>
  <c r="Q179" i="10" s="1"/>
  <c r="P169" i="10"/>
  <c r="Q169" i="10" s="1"/>
  <c r="P151" i="10"/>
  <c r="Q151" i="10" s="1"/>
  <c r="P168" i="10"/>
  <c r="Q168" i="10" s="1"/>
  <c r="P165" i="10"/>
  <c r="Q165" i="10" s="1"/>
  <c r="P173" i="10"/>
  <c r="Q173" i="10" s="1"/>
  <c r="P156" i="10"/>
  <c r="Q156" i="10" s="1"/>
  <c r="P180" i="10"/>
  <c r="Q180" i="10" s="1"/>
  <c r="P158" i="10"/>
  <c r="Q158" i="10" s="1"/>
  <c r="P159" i="10"/>
  <c r="Q159" i="10" s="1"/>
  <c r="P164" i="10"/>
  <c r="Q164" i="10" s="1"/>
  <c r="P157" i="10"/>
  <c r="Q157" i="10" s="1"/>
  <c r="P166" i="10"/>
  <c r="Q166" i="10" s="1"/>
  <c r="P167" i="10"/>
  <c r="Q167" i="10" s="1"/>
  <c r="Q6" i="10"/>
  <c r="P7" i="10" s="1"/>
  <c r="Q121" i="10" s="1"/>
  <c r="Q92" i="10" l="1"/>
  <c r="Q105" i="10"/>
  <c r="Q113" i="10"/>
  <c r="Q84" i="10"/>
  <c r="Q96" i="10"/>
  <c r="Q107" i="10"/>
  <c r="Q57" i="10"/>
  <c r="Q83" i="10"/>
  <c r="Q144" i="10"/>
  <c r="Q124" i="10"/>
  <c r="Q100" i="10"/>
  <c r="Q72" i="10"/>
  <c r="Q117" i="10"/>
  <c r="Q73" i="10"/>
  <c r="Q110" i="10"/>
  <c r="Q139" i="10"/>
  <c r="P43" i="10"/>
  <c r="Q43" i="10" s="1"/>
  <c r="P34" i="10"/>
  <c r="Q34" i="10" s="1"/>
  <c r="P37" i="10"/>
  <c r="Q37" i="10" s="1"/>
  <c r="P41" i="10"/>
  <c r="Q41" i="10" s="1"/>
  <c r="P25" i="10"/>
  <c r="Q25" i="10" s="1"/>
  <c r="P24" i="10"/>
  <c r="Q24" i="10" s="1"/>
  <c r="P39" i="10"/>
  <c r="Q39" i="10" s="1"/>
  <c r="P38" i="10"/>
  <c r="Q38" i="10" s="1"/>
  <c r="P29" i="10"/>
  <c r="Q29" i="10" s="1"/>
  <c r="P28" i="10"/>
  <c r="Q28" i="10" s="1"/>
  <c r="P35" i="10"/>
  <c r="Q35" i="10" s="1"/>
  <c r="P33" i="10"/>
  <c r="Q33" i="10" s="1"/>
  <c r="P26" i="10"/>
  <c r="Q26" i="10" s="1"/>
  <c r="P44" i="10"/>
  <c r="Q44" i="10" s="1"/>
  <c r="P27" i="10"/>
  <c r="Q27" i="10" s="1"/>
  <c r="P42" i="10"/>
  <c r="Q42" i="10" s="1"/>
  <c r="P31" i="10"/>
  <c r="Q31" i="10" s="1"/>
  <c r="P32" i="10"/>
  <c r="Q32" i="10" s="1"/>
  <c r="P40" i="10"/>
  <c r="Q40" i="10" s="1"/>
  <c r="P21" i="10"/>
  <c r="Q21" i="10" s="1"/>
  <c r="P22" i="10"/>
  <c r="Q22" i="10" s="1"/>
  <c r="P30" i="10"/>
  <c r="Q30" i="10" s="1"/>
  <c r="P36" i="10"/>
  <c r="Q36" i="10" s="1"/>
  <c r="P23" i="10"/>
  <c r="Q23" i="10" s="1"/>
  <c r="Q87" i="10"/>
  <c r="Q94" i="10"/>
  <c r="Q123" i="10"/>
  <c r="Q150" i="10"/>
  <c r="Q146" i="10"/>
  <c r="Q143" i="10"/>
  <c r="Q131" i="10"/>
  <c r="Q71" i="10"/>
  <c r="Q99" i="10"/>
  <c r="Q63" i="10"/>
  <c r="Q137" i="10"/>
  <c r="Q85" i="10"/>
  <c r="Q129" i="10"/>
  <c r="Q86" i="10"/>
  <c r="Q115" i="10"/>
  <c r="Q119" i="10"/>
  <c r="Q79" i="10"/>
  <c r="Q69" i="10"/>
  <c r="Q106" i="10"/>
  <c r="Q81" i="10"/>
  <c r="Q134" i="10"/>
  <c r="Q127" i="10"/>
  <c r="Q98" i="10"/>
  <c r="Q82" i="10"/>
  <c r="Q80" i="10"/>
  <c r="Q133" i="10"/>
  <c r="Q61" i="10"/>
  <c r="Q130" i="10"/>
  <c r="Q58" i="10"/>
  <c r="Q149" i="10"/>
  <c r="Q128" i="10"/>
  <c r="Q101" i="10"/>
  <c r="Q75" i="10"/>
  <c r="Q120" i="10"/>
  <c r="Q55" i="10"/>
  <c r="Q103" i="10"/>
  <c r="Q112" i="10"/>
  <c r="Q122" i="10"/>
  <c r="Q77" i="10"/>
  <c r="Q89" i="10"/>
  <c r="Q140" i="10"/>
  <c r="Q53" i="10"/>
  <c r="Q132" i="10"/>
  <c r="Q66" i="10"/>
  <c r="Q64" i="10"/>
  <c r="Q91" i="10"/>
  <c r="Q118" i="10"/>
  <c r="Q116" i="10"/>
  <c r="Q60" i="10"/>
  <c r="Q141" i="10"/>
  <c r="Q138" i="10"/>
  <c r="Q54" i="10"/>
  <c r="Q51" i="10"/>
  <c r="Q109" i="10"/>
  <c r="Q104" i="10"/>
  <c r="Q52" i="10"/>
  <c r="Q142" i="10"/>
  <c r="Q102" i="10"/>
  <c r="Q70" i="10"/>
  <c r="Q90" i="10"/>
  <c r="Q59" i="10"/>
  <c r="Q145" i="10"/>
  <c r="Q148" i="10"/>
  <c r="Q62" i="10"/>
  <c r="Q78" i="10"/>
  <c r="Q76" i="10"/>
  <c r="Q125" i="10"/>
  <c r="Q88" i="10"/>
  <c r="Q111" i="10"/>
  <c r="Q68" i="10"/>
  <c r="Q65" i="10"/>
  <c r="Q97" i="10"/>
  <c r="Q126" i="10"/>
  <c r="Q95" i="10"/>
  <c r="Q147" i="10"/>
  <c r="Q136" i="10"/>
  <c r="Q56" i="10"/>
  <c r="Q67" i="10"/>
  <c r="Q135" i="10"/>
  <c r="Q108" i="10"/>
  <c r="Q74" i="10"/>
  <c r="Q93" i="10"/>
  <c r="Q114" i="10"/>
  <c r="R7" i="10"/>
  <c r="P47" i="10" l="1"/>
  <c r="Q47" i="10" s="1"/>
  <c r="R2" i="10" s="1"/>
  <c r="Q2" i="10"/>
  <c r="P2" i="10"/>
  <c r="R4" i="10" l="1"/>
  <c r="R3" i="10"/>
  <c r="Q4" i="10"/>
  <c r="Q3" i="10"/>
  <c r="P3" i="10"/>
  <c r="P4" i="10"/>
  <c r="R248" i="10" l="1"/>
  <c r="T248" i="10" s="1"/>
  <c r="R247" i="10"/>
  <c r="T247" i="10" s="1"/>
  <c r="R249" i="10"/>
  <c r="T249" i="10" s="1"/>
  <c r="R246" i="10"/>
  <c r="T246" i="10" s="1"/>
  <c r="R239" i="10"/>
  <c r="T239" i="10" s="1"/>
  <c r="R237" i="10"/>
  <c r="T237" i="10" s="1"/>
  <c r="R229" i="10"/>
  <c r="T229" i="10" s="1"/>
  <c r="R236" i="10"/>
  <c r="T236" i="10" s="1"/>
  <c r="R235" i="10"/>
  <c r="T235" i="10" s="1"/>
  <c r="R227" i="10"/>
  <c r="T227" i="10" s="1"/>
  <c r="R226" i="10"/>
  <c r="T226" i="10" s="1"/>
  <c r="R228" i="10"/>
  <c r="T228" i="10" s="1"/>
  <c r="R238" i="10"/>
  <c r="T238" i="10" s="1"/>
  <c r="R225" i="10"/>
  <c r="T225" i="10" s="1"/>
  <c r="R231" i="10"/>
  <c r="T231" i="10" s="1"/>
  <c r="R244" i="10"/>
  <c r="T244" i="10" s="1"/>
  <c r="R232" i="10"/>
  <c r="T232" i="10" s="1"/>
  <c r="R245" i="10"/>
  <c r="T245" i="10" s="1"/>
  <c r="R233" i="10"/>
  <c r="T233" i="10" s="1"/>
  <c r="R230" i="10"/>
  <c r="T230" i="10" s="1"/>
  <c r="R234" i="10"/>
  <c r="T234" i="10" s="1"/>
  <c r="R243" i="10"/>
  <c r="T243" i="10" s="1"/>
  <c r="R240" i="10"/>
  <c r="T240" i="10" s="1"/>
  <c r="R241" i="10"/>
  <c r="T241" i="10" s="1"/>
  <c r="R242" i="10"/>
  <c r="T242" i="10" s="1"/>
  <c r="R219" i="10"/>
  <c r="T219" i="10" s="1"/>
  <c r="R223" i="10"/>
  <c r="T223" i="10" s="1"/>
  <c r="R224" i="10"/>
  <c r="T224" i="10" s="1"/>
  <c r="R220" i="10"/>
  <c r="T220" i="10" s="1"/>
  <c r="R221" i="10"/>
  <c r="T221" i="10" s="1"/>
  <c r="R222" i="10"/>
  <c r="T222" i="10" s="1"/>
  <c r="R212" i="10"/>
  <c r="T212" i="10" s="1"/>
  <c r="R204" i="10"/>
  <c r="T204" i="10" s="1"/>
  <c r="R196" i="10"/>
  <c r="T196" i="10" s="1"/>
  <c r="R207" i="10"/>
  <c r="T207" i="10" s="1"/>
  <c r="R203" i="10"/>
  <c r="T203" i="10" s="1"/>
  <c r="R213" i="10"/>
  <c r="T213" i="10" s="1"/>
  <c r="R217" i="10"/>
  <c r="T217" i="10" s="1"/>
  <c r="R201" i="10"/>
  <c r="T201" i="10" s="1"/>
  <c r="R210" i="10"/>
  <c r="T210" i="10" s="1"/>
  <c r="R208" i="10"/>
  <c r="T208" i="10" s="1"/>
  <c r="R205" i="10"/>
  <c r="T205" i="10" s="1"/>
  <c r="R197" i="10"/>
  <c r="T197" i="10" s="1"/>
  <c r="R200" i="10"/>
  <c r="T200" i="10" s="1"/>
  <c r="R215" i="10"/>
  <c r="T215" i="10" s="1"/>
  <c r="R198" i="10"/>
  <c r="T198" i="10" s="1"/>
  <c r="R216" i="10"/>
  <c r="T216" i="10" s="1"/>
  <c r="R206" i="10"/>
  <c r="T206" i="10" s="1"/>
  <c r="R218" i="10"/>
  <c r="T218" i="10" s="1"/>
  <c r="R199" i="10"/>
  <c r="T199" i="10" s="1"/>
  <c r="R195" i="10"/>
  <c r="T195" i="10" s="1"/>
  <c r="R211" i="10"/>
  <c r="T211" i="10" s="1"/>
  <c r="R202" i="10"/>
  <c r="T202" i="10" s="1"/>
  <c r="R209" i="10"/>
  <c r="T209" i="10" s="1"/>
  <c r="R214" i="10"/>
  <c r="T214" i="10" s="1"/>
  <c r="R186" i="10"/>
  <c r="T186" i="10" s="1"/>
  <c r="R189" i="10"/>
  <c r="T189" i="10" s="1"/>
  <c r="R188" i="10"/>
  <c r="T188" i="10" s="1"/>
  <c r="R193" i="10"/>
  <c r="T193" i="10" s="1"/>
  <c r="R187" i="10"/>
  <c r="T187" i="10" s="1"/>
  <c r="R191" i="10"/>
  <c r="T191" i="10" s="1"/>
  <c r="R190" i="10"/>
  <c r="T190" i="10" s="1"/>
  <c r="R194" i="10"/>
  <c r="T194" i="10" s="1"/>
  <c r="R192" i="10"/>
  <c r="T192" i="10" s="1"/>
  <c r="R182" i="10"/>
  <c r="T182" i="10" s="1"/>
  <c r="R185" i="10"/>
  <c r="T185" i="10" s="1"/>
  <c r="R184" i="10"/>
  <c r="T184" i="10" s="1"/>
  <c r="R181" i="10"/>
  <c r="T181" i="10" s="1"/>
  <c r="R183" i="10"/>
  <c r="T183" i="10" s="1"/>
  <c r="R162" i="10"/>
  <c r="T162" i="10" s="1"/>
  <c r="R172" i="10"/>
  <c r="T172" i="10" s="1"/>
  <c r="R160" i="10"/>
  <c r="T160" i="10" s="1"/>
  <c r="R169" i="10"/>
  <c r="T169" i="10" s="1"/>
  <c r="R151" i="10"/>
  <c r="T151" i="10" s="1"/>
  <c r="R167" i="10"/>
  <c r="T167" i="10" s="1"/>
  <c r="R177" i="10"/>
  <c r="T177" i="10" s="1"/>
  <c r="R154" i="10"/>
  <c r="T154" i="10" s="1"/>
  <c r="R168" i="10"/>
  <c r="T168" i="10" s="1"/>
  <c r="R163" i="10"/>
  <c r="T163" i="10" s="1"/>
  <c r="R164" i="10"/>
  <c r="T164" i="10" s="1"/>
  <c r="R157" i="10"/>
  <c r="T157" i="10" s="1"/>
  <c r="R176" i="10"/>
  <c r="T176" i="10" s="1"/>
  <c r="R156" i="10"/>
  <c r="T156" i="10" s="1"/>
  <c r="R173" i="10"/>
  <c r="T173" i="10" s="1"/>
  <c r="R152" i="10"/>
  <c r="T152" i="10" s="1"/>
  <c r="R179" i="10"/>
  <c r="T179" i="10" s="1"/>
  <c r="R180" i="10"/>
  <c r="T180" i="10" s="1"/>
  <c r="R159" i="10"/>
  <c r="T159" i="10" s="1"/>
  <c r="R175" i="10"/>
  <c r="T175" i="10" s="1"/>
  <c r="R161" i="10"/>
  <c r="T161" i="10" s="1"/>
  <c r="R170" i="10"/>
  <c r="T170" i="10" s="1"/>
  <c r="R155" i="10"/>
  <c r="T155" i="10" s="1"/>
  <c r="R165" i="10"/>
  <c r="T165" i="10" s="1"/>
  <c r="R166" i="10"/>
  <c r="T166" i="10" s="1"/>
  <c r="R174" i="10"/>
  <c r="T174" i="10" s="1"/>
  <c r="R153" i="10"/>
  <c r="T153" i="10" s="1"/>
  <c r="R178" i="10"/>
  <c r="T178" i="10" s="1"/>
  <c r="R158" i="10"/>
  <c r="T158" i="10" s="1"/>
  <c r="R47" i="10"/>
  <c r="T47" i="10" s="1"/>
  <c r="W6" i="10" s="1"/>
  <c r="R171" i="10"/>
  <c r="T171" i="10" s="1"/>
  <c r="R133" i="10"/>
  <c r="T133" i="10" s="1"/>
  <c r="R51" i="10"/>
  <c r="T51" i="10" s="1"/>
  <c r="R68" i="10"/>
  <c r="T68" i="10" s="1"/>
  <c r="R124" i="10"/>
  <c r="T124" i="10" s="1"/>
  <c r="R121" i="10"/>
  <c r="T121" i="10" s="1"/>
  <c r="R150" i="10"/>
  <c r="T150" i="10" s="1"/>
  <c r="R113" i="10"/>
  <c r="T113" i="10" s="1"/>
  <c r="R149" i="10"/>
  <c r="T149" i="10" s="1"/>
  <c r="R107" i="10"/>
  <c r="T107" i="10" s="1"/>
  <c r="R108" i="10"/>
  <c r="T108" i="10" s="1"/>
  <c r="R98" i="10"/>
  <c r="T98" i="10" s="1"/>
  <c r="R88" i="10"/>
  <c r="T88" i="10" s="1"/>
  <c r="R95" i="10"/>
  <c r="T95" i="10" s="1"/>
  <c r="R55" i="10"/>
  <c r="T55" i="10" s="1"/>
  <c r="R101" i="10"/>
  <c r="T101" i="10" s="1"/>
  <c r="R71" i="10"/>
  <c r="T71" i="10" s="1"/>
  <c r="R100" i="10"/>
  <c r="T100" i="10" s="1"/>
  <c r="R90" i="10"/>
  <c r="T90" i="10" s="1"/>
  <c r="R79" i="10"/>
  <c r="T79" i="10" s="1"/>
  <c r="R87" i="10"/>
  <c r="T87" i="10" s="1"/>
  <c r="R61" i="10"/>
  <c r="T61" i="10" s="1"/>
  <c r="R144" i="10"/>
  <c r="T144" i="10" s="1"/>
  <c r="R141" i="10"/>
  <c r="T141" i="10" s="1"/>
  <c r="R148" i="10"/>
  <c r="T148" i="10" s="1"/>
  <c r="R91" i="10"/>
  <c r="T91" i="10" s="1"/>
  <c r="R97" i="10"/>
  <c r="T97" i="10" s="1"/>
  <c r="R103" i="10"/>
  <c r="T103" i="10" s="1"/>
  <c r="R134" i="10"/>
  <c r="T134" i="10" s="1"/>
  <c r="R59" i="10"/>
  <c r="T59" i="10" s="1"/>
  <c r="R132" i="10"/>
  <c r="T132" i="10" s="1"/>
  <c r="R116" i="10"/>
  <c r="T116" i="10" s="1"/>
  <c r="R139" i="10"/>
  <c r="T139" i="10" s="1"/>
  <c r="R75" i="10"/>
  <c r="T75" i="10" s="1"/>
  <c r="R146" i="10"/>
  <c r="T146" i="10" s="1"/>
  <c r="R85" i="10"/>
  <c r="T85" i="10" s="1"/>
  <c r="R92" i="10"/>
  <c r="T92" i="10" s="1"/>
  <c r="R83" i="10"/>
  <c r="T83" i="10" s="1"/>
  <c r="R57" i="10"/>
  <c r="T57" i="10" s="1"/>
  <c r="R143" i="10"/>
  <c r="T143" i="10" s="1"/>
  <c r="R64" i="10"/>
  <c r="T64" i="10" s="1"/>
  <c r="R65" i="10"/>
  <c r="T65" i="10" s="1"/>
  <c r="R109" i="10"/>
  <c r="T109" i="10" s="1"/>
  <c r="R122" i="10"/>
  <c r="T122" i="10" s="1"/>
  <c r="R119" i="10"/>
  <c r="T119" i="10" s="1"/>
  <c r="R52" i="10"/>
  <c r="T52" i="10" s="1"/>
  <c r="R86" i="10"/>
  <c r="T86" i="10" s="1"/>
  <c r="R105" i="10"/>
  <c r="T105" i="10" s="1"/>
  <c r="R58" i="10"/>
  <c r="T58" i="10" s="1"/>
  <c r="R117" i="10"/>
  <c r="T117" i="10" s="1"/>
  <c r="R78" i="10"/>
  <c r="T78" i="10" s="1"/>
  <c r="R129" i="10"/>
  <c r="T129" i="10" s="1"/>
  <c r="R137" i="10"/>
  <c r="T137" i="10" s="1"/>
  <c r="R63" i="10"/>
  <c r="T63" i="10" s="1"/>
  <c r="R60" i="10"/>
  <c r="T60" i="10" s="1"/>
  <c r="R128" i="10"/>
  <c r="T128" i="10" s="1"/>
  <c r="R84" i="10"/>
  <c r="T84" i="10" s="1"/>
  <c r="R135" i="10"/>
  <c r="T135" i="10" s="1"/>
  <c r="R56" i="10"/>
  <c r="T56" i="10" s="1"/>
  <c r="R118" i="10"/>
  <c r="T118" i="10" s="1"/>
  <c r="R72" i="10"/>
  <c r="T72" i="10" s="1"/>
  <c r="R147" i="10"/>
  <c r="T147" i="10" s="1"/>
  <c r="R145" i="10"/>
  <c r="T145" i="10" s="1"/>
  <c r="R62" i="10"/>
  <c r="T62" i="10" s="1"/>
  <c r="R106" i="10"/>
  <c r="T106" i="10" s="1"/>
  <c r="R123" i="10"/>
  <c r="T123" i="10" s="1"/>
  <c r="R99" i="10"/>
  <c r="T99" i="10" s="1"/>
  <c r="R82" i="10"/>
  <c r="T82" i="10" s="1"/>
  <c r="R115" i="10"/>
  <c r="T115" i="10" s="1"/>
  <c r="R140" i="10"/>
  <c r="T140" i="10" s="1"/>
  <c r="R125" i="10"/>
  <c r="T125" i="10" s="1"/>
  <c r="R131" i="10"/>
  <c r="T131" i="10" s="1"/>
  <c r="R77" i="10"/>
  <c r="T77" i="10" s="1"/>
  <c r="R130" i="10"/>
  <c r="T130" i="10" s="1"/>
  <c r="R80" i="10"/>
  <c r="T80" i="10" s="1"/>
  <c r="R120" i="10"/>
  <c r="T120" i="10" s="1"/>
  <c r="R53" i="10"/>
  <c r="T53" i="10" s="1"/>
  <c r="R127" i="10"/>
  <c r="T127" i="10" s="1"/>
  <c r="R74" i="10"/>
  <c r="T74" i="10" s="1"/>
  <c r="R110" i="10"/>
  <c r="T110" i="10" s="1"/>
  <c r="R54" i="10"/>
  <c r="T54" i="10" s="1"/>
  <c r="R73" i="10"/>
  <c r="T73" i="10" s="1"/>
  <c r="R93" i="10"/>
  <c r="T93" i="10" s="1"/>
  <c r="R76" i="10"/>
  <c r="T76" i="10" s="1"/>
  <c r="R112" i="10"/>
  <c r="T112" i="10" s="1"/>
  <c r="R102" i="10"/>
  <c r="T102" i="10" s="1"/>
  <c r="R142" i="10"/>
  <c r="T142" i="10" s="1"/>
  <c r="R66" i="10"/>
  <c r="T66" i="10" s="1"/>
  <c r="R70" i="10"/>
  <c r="T70" i="10" s="1"/>
  <c r="R138" i="10"/>
  <c r="T138" i="10" s="1"/>
  <c r="R89" i="10"/>
  <c r="T89" i="10" s="1"/>
  <c r="R136" i="10"/>
  <c r="T136" i="10" s="1"/>
  <c r="R67" i="10"/>
  <c r="T67" i="10" s="1"/>
  <c r="R114" i="10"/>
  <c r="T114" i="10" s="1"/>
  <c r="R104" i="10"/>
  <c r="T104" i="10" s="1"/>
  <c r="R111" i="10"/>
  <c r="T111" i="10" s="1"/>
  <c r="R94" i="10"/>
  <c r="T94" i="10" s="1"/>
  <c r="R126" i="10"/>
  <c r="T126" i="10" s="1"/>
  <c r="R81" i="10"/>
  <c r="T81" i="10" s="1"/>
  <c r="R69" i="10"/>
  <c r="T69" i="10" s="1"/>
  <c r="R96" i="10"/>
  <c r="T96" i="10" s="1"/>
  <c r="R24" i="10"/>
  <c r="T24" i="10" s="1"/>
  <c r="R32" i="10"/>
  <c r="T32" i="10" s="1"/>
  <c r="R33" i="10"/>
  <c r="T33" i="10" s="1"/>
  <c r="R38" i="10"/>
  <c r="T38" i="10" s="1"/>
  <c r="R28" i="10"/>
  <c r="T28" i="10" s="1"/>
  <c r="R34" i="10"/>
  <c r="T34" i="10" s="1"/>
  <c r="R36" i="10"/>
  <c r="T36" i="10" s="1"/>
  <c r="R42" i="10"/>
  <c r="T42" i="10" s="1"/>
  <c r="R21" i="10"/>
  <c r="T21" i="10" s="1"/>
  <c r="R26" i="10"/>
  <c r="T26" i="10" s="1"/>
  <c r="R22" i="10"/>
  <c r="T22" i="10" s="1"/>
  <c r="R44" i="10"/>
  <c r="T44" i="10" s="1"/>
  <c r="R43" i="10"/>
  <c r="T43" i="10" s="1"/>
  <c r="R25" i="10"/>
  <c r="T25" i="10" s="1"/>
  <c r="R31" i="10"/>
  <c r="T31" i="10" s="1"/>
  <c r="R41" i="10"/>
  <c r="T41" i="10" s="1"/>
  <c r="R39" i="10"/>
  <c r="T39" i="10" s="1"/>
  <c r="R23" i="10"/>
  <c r="T23" i="10" s="1"/>
  <c r="R40" i="10"/>
  <c r="T40" i="10" s="1"/>
  <c r="R35" i="10"/>
  <c r="T35" i="10" s="1"/>
  <c r="R29" i="10"/>
  <c r="T29" i="10" s="1"/>
  <c r="R30" i="10"/>
  <c r="T30" i="10" s="1"/>
  <c r="R27" i="10"/>
  <c r="T27" i="10" s="1"/>
  <c r="R37" i="10"/>
  <c r="T37" i="10" s="1"/>
  <c r="V6" i="10" l="1"/>
  <c r="U7" i="10" s="1"/>
  <c r="U6" i="10"/>
  <c r="U44" i="10" l="1"/>
  <c r="V44" i="10" s="1"/>
  <c r="U34" i="10"/>
  <c r="V34" i="10" s="1"/>
  <c r="U37" i="10"/>
  <c r="V37" i="10" s="1"/>
  <c r="U24" i="10"/>
  <c r="V24" i="10" s="1"/>
  <c r="U28" i="10"/>
  <c r="V28" i="10" s="1"/>
  <c r="U21" i="10"/>
  <c r="V21" i="10" s="1"/>
  <c r="U43" i="10"/>
  <c r="V43" i="10" s="1"/>
  <c r="U36" i="10"/>
  <c r="V36" i="10" s="1"/>
  <c r="U29" i="10"/>
  <c r="V29" i="10" s="1"/>
  <c r="U27" i="10"/>
  <c r="V27" i="10" s="1"/>
  <c r="U41" i="10"/>
  <c r="V41" i="10" s="1"/>
  <c r="U39" i="10"/>
  <c r="V39" i="10" s="1"/>
  <c r="U40" i="10"/>
  <c r="V40" i="10" s="1"/>
  <c r="U35" i="10"/>
  <c r="V35" i="10" s="1"/>
  <c r="U38" i="10"/>
  <c r="V38" i="10" s="1"/>
  <c r="U25" i="10"/>
  <c r="V25" i="10" s="1"/>
  <c r="U32" i="10"/>
  <c r="V32" i="10" s="1"/>
  <c r="U33" i="10"/>
  <c r="V33" i="10" s="1"/>
  <c r="U23" i="10"/>
  <c r="V23" i="10" s="1"/>
  <c r="U42" i="10"/>
  <c r="V42" i="10" s="1"/>
  <c r="U26" i="10"/>
  <c r="V26" i="10" s="1"/>
  <c r="U22" i="10"/>
  <c r="V22" i="10" s="1"/>
  <c r="U30" i="10"/>
  <c r="V30" i="10" s="1"/>
  <c r="U31" i="10"/>
  <c r="V31" i="10" s="1"/>
  <c r="W7" i="10"/>
  <c r="V7" i="10"/>
  <c r="U192" i="10" l="1"/>
  <c r="U187" i="10"/>
  <c r="U186" i="10"/>
  <c r="U211" i="10"/>
  <c r="U231" i="10"/>
  <c r="U243" i="10"/>
  <c r="U202" i="10"/>
  <c r="U238" i="10"/>
  <c r="U206" i="10"/>
  <c r="U200" i="10"/>
  <c r="V200" i="10" s="1"/>
  <c r="U210" i="10"/>
  <c r="V210" i="10" s="1"/>
  <c r="U203" i="10"/>
  <c r="V203" i="10" s="1"/>
  <c r="U207" i="10"/>
  <c r="U233" i="10"/>
  <c r="U198" i="10"/>
  <c r="V198" i="10" s="1"/>
  <c r="U218" i="10"/>
  <c r="V218" i="10" s="1"/>
  <c r="U234" i="10"/>
  <c r="U212" i="10"/>
  <c r="U224" i="10"/>
  <c r="U241" i="10"/>
  <c r="U230" i="10"/>
  <c r="U214" i="10"/>
  <c r="V214" i="10" s="1"/>
  <c r="U201" i="10"/>
  <c r="V201" i="10" s="1"/>
  <c r="U240" i="10"/>
  <c r="V240" i="10" s="1"/>
  <c r="U190" i="10"/>
  <c r="U245" i="10"/>
  <c r="U191" i="10"/>
  <c r="U244" i="10"/>
  <c r="U228" i="10"/>
  <c r="U236" i="10"/>
  <c r="U246" i="10"/>
  <c r="V246" i="10" s="1"/>
  <c r="U223" i="10"/>
  <c r="V223" i="10" s="1"/>
  <c r="U249" i="10"/>
  <c r="U188" i="10"/>
  <c r="U221" i="10"/>
  <c r="V221" i="10" s="1"/>
  <c r="U242" i="10"/>
  <c r="V242" i="10" s="1"/>
  <c r="U194" i="10"/>
  <c r="U193" i="10"/>
  <c r="U195" i="10"/>
  <c r="U226" i="10"/>
  <c r="U199" i="10"/>
  <c r="U205" i="10"/>
  <c r="U225" i="10"/>
  <c r="U215" i="10"/>
  <c r="U216" i="10"/>
  <c r="V216" i="10" s="1"/>
  <c r="U197" i="10"/>
  <c r="V197" i="10" s="1"/>
  <c r="U209" i="10"/>
  <c r="V209" i="10" s="1"/>
  <c r="U196" i="10"/>
  <c r="V196" i="10" s="1"/>
  <c r="U237" i="10"/>
  <c r="U189" i="10"/>
  <c r="U232" i="10"/>
  <c r="U248" i="10"/>
  <c r="U222" i="10"/>
  <c r="U217" i="10"/>
  <c r="U247" i="10"/>
  <c r="U220" i="10"/>
  <c r="U229" i="10"/>
  <c r="U227" i="10"/>
  <c r="V227" i="10" s="1"/>
  <c r="U213" i="10"/>
  <c r="V213" i="10" s="1"/>
  <c r="U239" i="10"/>
  <c r="V239" i="10" s="1"/>
  <c r="U219" i="10"/>
  <c r="V219" i="10" s="1"/>
  <c r="U208" i="10"/>
  <c r="V208" i="10" s="1"/>
  <c r="U204" i="10"/>
  <c r="V204" i="10" s="1"/>
  <c r="U235" i="10"/>
  <c r="V235" i="10" s="1"/>
  <c r="U183" i="10"/>
  <c r="V183" i="10" s="1"/>
  <c r="U182" i="10"/>
  <c r="V182" i="10" s="1"/>
  <c r="U181" i="10"/>
  <c r="V181" i="10" s="1"/>
  <c r="U184" i="10"/>
  <c r="V184" i="10" s="1"/>
  <c r="U185" i="10"/>
  <c r="V185" i="10" s="1"/>
  <c r="U155" i="10"/>
  <c r="V155" i="10" s="1"/>
  <c r="U176" i="10"/>
  <c r="V176" i="10" s="1"/>
  <c r="U153" i="10"/>
  <c r="V153" i="10" s="1"/>
  <c r="U172" i="10"/>
  <c r="V172" i="10" s="1"/>
  <c r="U173" i="10"/>
  <c r="V173" i="10" s="1"/>
  <c r="U151" i="10"/>
  <c r="V151" i="10" s="1"/>
  <c r="U159" i="10"/>
  <c r="V159" i="10" s="1"/>
  <c r="U166" i="10"/>
  <c r="V166" i="10" s="1"/>
  <c r="U157" i="10"/>
  <c r="V157" i="10" s="1"/>
  <c r="U158" i="10"/>
  <c r="V158" i="10" s="1"/>
  <c r="U177" i="10"/>
  <c r="V177" i="10" s="1"/>
  <c r="U165" i="10"/>
  <c r="V165" i="10" s="1"/>
  <c r="U164" i="10"/>
  <c r="V164" i="10" s="1"/>
  <c r="U179" i="10"/>
  <c r="V179" i="10" s="1"/>
  <c r="U160" i="10"/>
  <c r="V160" i="10" s="1"/>
  <c r="U167" i="10"/>
  <c r="V167" i="10" s="1"/>
  <c r="U169" i="10"/>
  <c r="V169" i="10" s="1"/>
  <c r="U154" i="10"/>
  <c r="V154" i="10" s="1"/>
  <c r="U152" i="10"/>
  <c r="V152" i="10" s="1"/>
  <c r="U170" i="10"/>
  <c r="V170" i="10" s="1"/>
  <c r="U178" i="10"/>
  <c r="V178" i="10" s="1"/>
  <c r="U168" i="10"/>
  <c r="V168" i="10" s="1"/>
  <c r="U156" i="10"/>
  <c r="V156" i="10" s="1"/>
  <c r="U175" i="10"/>
  <c r="V175" i="10" s="1"/>
  <c r="U171" i="10"/>
  <c r="V171" i="10" s="1"/>
  <c r="U162" i="10"/>
  <c r="V162" i="10" s="1"/>
  <c r="U174" i="10"/>
  <c r="V174" i="10" s="1"/>
  <c r="U180" i="10"/>
  <c r="V180" i="10" s="1"/>
  <c r="U161" i="10"/>
  <c r="V161" i="10" s="1"/>
  <c r="U163" i="10"/>
  <c r="V163" i="10" s="1"/>
  <c r="U60" i="10"/>
  <c r="V60" i="10" s="1"/>
  <c r="U59" i="10"/>
  <c r="V59" i="10" s="1"/>
  <c r="U67" i="10"/>
  <c r="V67" i="10" s="1"/>
  <c r="U134" i="10"/>
  <c r="V134" i="10" s="1"/>
  <c r="U129" i="10"/>
  <c r="V129" i="10" s="1"/>
  <c r="U57" i="10"/>
  <c r="V57" i="10" s="1"/>
  <c r="U78" i="10"/>
  <c r="V78" i="10" s="1"/>
  <c r="U132" i="10"/>
  <c r="V132" i="10" s="1"/>
  <c r="U117" i="10"/>
  <c r="V117" i="10" s="1"/>
  <c r="U144" i="10"/>
  <c r="V144" i="10" s="1"/>
  <c r="U58" i="10"/>
  <c r="V58" i="10" s="1"/>
  <c r="U111" i="10"/>
  <c r="V111" i="10" s="1"/>
  <c r="U116" i="10"/>
  <c r="V116" i="10" s="1"/>
  <c r="U64" i="10"/>
  <c r="V64" i="10" s="1"/>
  <c r="U141" i="10"/>
  <c r="V141" i="10" s="1"/>
  <c r="U128" i="10"/>
  <c r="V128" i="10" s="1"/>
  <c r="U83" i="10"/>
  <c r="V83" i="10" s="1"/>
  <c r="U142" i="10"/>
  <c r="V142" i="10" s="1"/>
  <c r="U114" i="10"/>
  <c r="V114" i="10" s="1"/>
  <c r="U61" i="10"/>
  <c r="V61" i="10" s="1"/>
  <c r="U112" i="10"/>
  <c r="V112" i="10" s="1"/>
  <c r="U87" i="10"/>
  <c r="V87" i="10" s="1"/>
  <c r="U122" i="10"/>
  <c r="V122" i="10" s="1"/>
  <c r="U120" i="10"/>
  <c r="V120" i="10" s="1"/>
  <c r="U109" i="10"/>
  <c r="V109" i="10" s="1"/>
  <c r="U82" i="10"/>
  <c r="V82" i="10" s="1"/>
  <c r="U65" i="10"/>
  <c r="V65" i="10" s="1"/>
  <c r="U76" i="10"/>
  <c r="V76" i="10" s="1"/>
  <c r="U66" i="10"/>
  <c r="V66" i="10" s="1"/>
  <c r="U149" i="10"/>
  <c r="V149" i="10" s="1"/>
  <c r="U92" i="10"/>
  <c r="V92" i="10" s="1"/>
  <c r="U135" i="10"/>
  <c r="V135" i="10" s="1"/>
  <c r="U127" i="10"/>
  <c r="V127" i="10" s="1"/>
  <c r="U95" i="10"/>
  <c r="V95" i="10" s="1"/>
  <c r="U53" i="10"/>
  <c r="V53" i="10" s="1"/>
  <c r="U88" i="10"/>
  <c r="V88" i="10" s="1"/>
  <c r="U85" i="10"/>
  <c r="V85" i="10" s="1"/>
  <c r="U81" i="10"/>
  <c r="V81" i="10" s="1"/>
  <c r="U146" i="10"/>
  <c r="V146" i="10" s="1"/>
  <c r="U126" i="10"/>
  <c r="V126" i="10" s="1"/>
  <c r="U75" i="10"/>
  <c r="V75" i="10" s="1"/>
  <c r="U94" i="10"/>
  <c r="V94" i="10" s="1"/>
  <c r="U139" i="10"/>
  <c r="V139" i="10" s="1"/>
  <c r="U110" i="10"/>
  <c r="V110" i="10" s="1"/>
  <c r="U101" i="10"/>
  <c r="V101" i="10" s="1"/>
  <c r="U56" i="10"/>
  <c r="V56" i="10" s="1"/>
  <c r="U69" i="10"/>
  <c r="V69" i="10" s="1"/>
  <c r="U140" i="10"/>
  <c r="V140" i="10" s="1"/>
  <c r="U121" i="10"/>
  <c r="V121" i="10" s="1"/>
  <c r="U115" i="10"/>
  <c r="V115" i="10" s="1"/>
  <c r="U124" i="10"/>
  <c r="V124" i="10" s="1"/>
  <c r="U103" i="10"/>
  <c r="V103" i="10" s="1"/>
  <c r="U89" i="10"/>
  <c r="V89" i="10" s="1"/>
  <c r="U97" i="10"/>
  <c r="V97" i="10" s="1"/>
  <c r="U138" i="10"/>
  <c r="V138" i="10" s="1"/>
  <c r="U91" i="10"/>
  <c r="V91" i="10" s="1"/>
  <c r="U70" i="10"/>
  <c r="V70" i="10" s="1"/>
  <c r="U148" i="10"/>
  <c r="V148" i="10" s="1"/>
  <c r="U131" i="10"/>
  <c r="V131" i="10" s="1"/>
  <c r="U113" i="10"/>
  <c r="V113" i="10" s="1"/>
  <c r="U86" i="10"/>
  <c r="V86" i="10" s="1"/>
  <c r="U104" i="10"/>
  <c r="V104" i="10" s="1"/>
  <c r="U143" i="10"/>
  <c r="V143" i="10" s="1"/>
  <c r="U147" i="10"/>
  <c r="V147" i="10" s="1"/>
  <c r="U125" i="10"/>
  <c r="V125" i="10" s="1"/>
  <c r="U72" i="10"/>
  <c r="V72" i="10" s="1"/>
  <c r="U74" i="10"/>
  <c r="V74" i="10" s="1"/>
  <c r="U79" i="10"/>
  <c r="V79" i="10" s="1"/>
  <c r="U93" i="10"/>
  <c r="V93" i="10" s="1"/>
  <c r="U90" i="10"/>
  <c r="V90" i="10" s="1"/>
  <c r="U73" i="10"/>
  <c r="V73" i="10" s="1"/>
  <c r="U100" i="10"/>
  <c r="V100" i="10" s="1"/>
  <c r="U54" i="10"/>
  <c r="V54" i="10" s="1"/>
  <c r="U71" i="10"/>
  <c r="V71" i="10" s="1"/>
  <c r="U62" i="10"/>
  <c r="V62" i="10" s="1"/>
  <c r="U63" i="10"/>
  <c r="V63" i="10" s="1"/>
  <c r="U55" i="10"/>
  <c r="V55" i="10" s="1"/>
  <c r="U137" i="10"/>
  <c r="V137" i="10" s="1"/>
  <c r="U150" i="10"/>
  <c r="V150" i="10" s="1"/>
  <c r="U98" i="10"/>
  <c r="V98" i="10" s="1"/>
  <c r="U80" i="10"/>
  <c r="V80" i="10" s="1"/>
  <c r="U108" i="10"/>
  <c r="V108" i="10" s="1"/>
  <c r="U130" i="10"/>
  <c r="V130" i="10" s="1"/>
  <c r="U107" i="10"/>
  <c r="V107" i="10" s="1"/>
  <c r="U77" i="10"/>
  <c r="V77" i="10" s="1"/>
  <c r="U96" i="10"/>
  <c r="V96" i="10" s="1"/>
  <c r="U145" i="10"/>
  <c r="V145" i="10" s="1"/>
  <c r="U52" i="10"/>
  <c r="V52" i="10" s="1"/>
  <c r="U102" i="10"/>
  <c r="V102" i="10" s="1"/>
  <c r="U119" i="10"/>
  <c r="V119" i="10" s="1"/>
  <c r="U136" i="10"/>
  <c r="V136" i="10" s="1"/>
  <c r="U68" i="10"/>
  <c r="V68" i="10" s="1"/>
  <c r="U99" i="10"/>
  <c r="V99" i="10" s="1"/>
  <c r="U51" i="10"/>
  <c r="V51" i="10" s="1"/>
  <c r="U123" i="10"/>
  <c r="V123" i="10" s="1"/>
  <c r="U133" i="10"/>
  <c r="V133" i="10" s="1"/>
  <c r="U106" i="10"/>
  <c r="V106" i="10" s="1"/>
  <c r="U105" i="10"/>
  <c r="V105" i="10" s="1"/>
  <c r="U118" i="10"/>
  <c r="V118" i="10" s="1"/>
  <c r="U84" i="10"/>
  <c r="V84" i="10" s="1"/>
  <c r="U47" i="10"/>
  <c r="V47" i="10" s="1"/>
  <c r="W2" i="10" s="1"/>
  <c r="U2" i="10"/>
  <c r="U3" i="10" s="1"/>
  <c r="V186" i="10"/>
  <c r="V187" i="10"/>
  <c r="V188" i="10"/>
  <c r="V189" i="10"/>
  <c r="V190" i="10"/>
  <c r="V191" i="10"/>
  <c r="V192" i="10"/>
  <c r="V193" i="10"/>
  <c r="V194" i="10"/>
  <c r="V195" i="10"/>
  <c r="V199" i="10"/>
  <c r="V202" i="10"/>
  <c r="V205" i="10"/>
  <c r="V206" i="10"/>
  <c r="V207" i="10"/>
  <c r="V211" i="10"/>
  <c r="V212" i="10"/>
  <c r="V215" i="10"/>
  <c r="V217" i="10"/>
  <c r="V220" i="10"/>
  <c r="V222" i="10"/>
  <c r="V224" i="10"/>
  <c r="V225" i="10"/>
  <c r="V226" i="10"/>
  <c r="V228" i="10"/>
  <c r="V229" i="10"/>
  <c r="V230" i="10"/>
  <c r="V231" i="10"/>
  <c r="V232" i="10"/>
  <c r="V233" i="10"/>
  <c r="V234" i="10"/>
  <c r="V236" i="10"/>
  <c r="V237" i="10"/>
  <c r="V238" i="10"/>
  <c r="V241" i="10"/>
  <c r="V243" i="10"/>
  <c r="V244" i="10"/>
  <c r="V245" i="10"/>
  <c r="V247" i="10"/>
  <c r="V248" i="10"/>
  <c r="V249" i="10"/>
  <c r="W3" i="10" l="1"/>
  <c r="W4" i="10"/>
  <c r="U4" i="10"/>
  <c r="W39" i="10" s="1"/>
  <c r="Y39" i="10" s="1"/>
  <c r="V2" i="10"/>
  <c r="W47" i="10" l="1"/>
  <c r="Y47" i="10" s="1"/>
  <c r="AB6" i="10" s="1"/>
  <c r="W30" i="10"/>
  <c r="Y30" i="10" s="1"/>
  <c r="W32" i="10"/>
  <c r="Y32" i="10" s="1"/>
  <c r="W38" i="10"/>
  <c r="Y38" i="10" s="1"/>
  <c r="W27" i="10"/>
  <c r="Y27" i="10" s="1"/>
  <c r="W41" i="10"/>
  <c r="Y41" i="10" s="1"/>
  <c r="W28" i="10"/>
  <c r="Y28" i="10" s="1"/>
  <c r="W42" i="10"/>
  <c r="Y42" i="10" s="1"/>
  <c r="W34" i="10"/>
  <c r="Y34" i="10" s="1"/>
  <c r="W21" i="10"/>
  <c r="Y21" i="10" s="1"/>
  <c r="W22" i="10"/>
  <c r="Y22" i="10" s="1"/>
  <c r="W36" i="10"/>
  <c r="Y36" i="10" s="1"/>
  <c r="W44" i="10"/>
  <c r="Y44" i="10" s="1"/>
  <c r="W29" i="10"/>
  <c r="Y29" i="10" s="1"/>
  <c r="W31" i="10"/>
  <c r="Y31" i="10" s="1"/>
  <c r="W25" i="10"/>
  <c r="Y25" i="10" s="1"/>
  <c r="W35" i="10"/>
  <c r="Y35" i="10" s="1"/>
  <c r="W24" i="10"/>
  <c r="Y24" i="10" s="1"/>
  <c r="W33" i="10"/>
  <c r="Y33" i="10" s="1"/>
  <c r="W23" i="10"/>
  <c r="Y23" i="10" s="1"/>
  <c r="W26" i="10"/>
  <c r="Y26" i="10" s="1"/>
  <c r="W40" i="10"/>
  <c r="Y40" i="10" s="1"/>
  <c r="W37" i="10"/>
  <c r="Y37" i="10" s="1"/>
  <c r="W43" i="10"/>
  <c r="Y43" i="10" s="1"/>
  <c r="V3" i="10"/>
  <c r="V4" i="10"/>
  <c r="Z6" i="10" l="1"/>
  <c r="AA7" i="10" s="1"/>
  <c r="W151" i="10"/>
  <c r="Y151" i="10" s="1"/>
  <c r="W171" i="10"/>
  <c r="Y171" i="10" s="1"/>
  <c r="W172" i="10"/>
  <c r="Y172" i="10" s="1"/>
  <c r="W173" i="10"/>
  <c r="Y173" i="10" s="1"/>
  <c r="W174" i="10"/>
  <c r="Y174" i="10" s="1"/>
  <c r="W175" i="10"/>
  <c r="Y175" i="10" s="1"/>
  <c r="W176" i="10"/>
  <c r="Y176" i="10" s="1"/>
  <c r="W177" i="10"/>
  <c r="Y177" i="10" s="1"/>
  <c r="W178" i="10"/>
  <c r="Y178" i="10" s="1"/>
  <c r="W179" i="10"/>
  <c r="Y179" i="10" s="1"/>
  <c r="W180" i="10"/>
  <c r="Y180" i="10" s="1"/>
  <c r="W181" i="10"/>
  <c r="Y181" i="10" s="1"/>
  <c r="W182" i="10"/>
  <c r="Y182" i="10" s="1"/>
  <c r="W183" i="10"/>
  <c r="Y183" i="10" s="1"/>
  <c r="W184" i="10"/>
  <c r="Y184" i="10" s="1"/>
  <c r="W185" i="10"/>
  <c r="Y185" i="10" s="1"/>
  <c r="W186" i="10"/>
  <c r="Y186" i="10" s="1"/>
  <c r="Z186" i="10" s="1"/>
  <c r="W187" i="10"/>
  <c r="Y187" i="10" s="1"/>
  <c r="Z187" i="10" s="1"/>
  <c r="W188" i="10"/>
  <c r="Y188" i="10" s="1"/>
  <c r="Z188" i="10" s="1"/>
  <c r="W189" i="10"/>
  <c r="Y189" i="10" s="1"/>
  <c r="Z189" i="10" s="1"/>
  <c r="W190" i="10"/>
  <c r="Y190" i="10" s="1"/>
  <c r="Z190" i="10" s="1"/>
  <c r="W191" i="10"/>
  <c r="Y191" i="10" s="1"/>
  <c r="Z191" i="10" s="1"/>
  <c r="W192" i="10"/>
  <c r="Y192" i="10" s="1"/>
  <c r="Z192" i="10" s="1"/>
  <c r="W193" i="10"/>
  <c r="Y193" i="10" s="1"/>
  <c r="Z193" i="10" s="1"/>
  <c r="W194" i="10"/>
  <c r="Y194" i="10" s="1"/>
  <c r="Z194" i="10" s="1"/>
  <c r="W195" i="10"/>
  <c r="Y195" i="10" s="1"/>
  <c r="Z195" i="10" s="1"/>
  <c r="W196" i="10"/>
  <c r="Y196" i="10" s="1"/>
  <c r="Z196" i="10" s="1"/>
  <c r="W197" i="10"/>
  <c r="Y197" i="10" s="1"/>
  <c r="Z197" i="10" s="1"/>
  <c r="W198" i="10"/>
  <c r="Y198" i="10" s="1"/>
  <c r="Z198" i="10" s="1"/>
  <c r="W199" i="10"/>
  <c r="Y199" i="10" s="1"/>
  <c r="Z199" i="10" s="1"/>
  <c r="W200" i="10"/>
  <c r="Y200" i="10" s="1"/>
  <c r="Z200" i="10" s="1"/>
  <c r="W201" i="10"/>
  <c r="Y201" i="10" s="1"/>
  <c r="Z201" i="10" s="1"/>
  <c r="W202" i="10"/>
  <c r="Y202" i="10" s="1"/>
  <c r="Z202" i="10" s="1"/>
  <c r="W203" i="10"/>
  <c r="Y203" i="10" s="1"/>
  <c r="Z203" i="10" s="1"/>
  <c r="W204" i="10"/>
  <c r="Y204" i="10" s="1"/>
  <c r="Z204" i="10" s="1"/>
  <c r="W205" i="10"/>
  <c r="Y205" i="10" s="1"/>
  <c r="Z205" i="10" s="1"/>
  <c r="W206" i="10"/>
  <c r="Y206" i="10" s="1"/>
  <c r="Z206" i="10" s="1"/>
  <c r="W207" i="10"/>
  <c r="Y207" i="10" s="1"/>
  <c r="Z207" i="10" s="1"/>
  <c r="W208" i="10"/>
  <c r="Y208" i="10" s="1"/>
  <c r="Z208" i="10" s="1"/>
  <c r="W209" i="10"/>
  <c r="Y209" i="10" s="1"/>
  <c r="Z209" i="10" s="1"/>
  <c r="W210" i="10"/>
  <c r="Y210" i="10" s="1"/>
  <c r="Z210" i="10" s="1"/>
  <c r="W211" i="10"/>
  <c r="Y211" i="10" s="1"/>
  <c r="Z211" i="10" s="1"/>
  <c r="W212" i="10"/>
  <c r="Y212" i="10" s="1"/>
  <c r="Z212" i="10" s="1"/>
  <c r="W213" i="10"/>
  <c r="Y213" i="10" s="1"/>
  <c r="Z213" i="10" s="1"/>
  <c r="W214" i="10"/>
  <c r="Y214" i="10" s="1"/>
  <c r="Z214" i="10" s="1"/>
  <c r="W215" i="10"/>
  <c r="Y215" i="10" s="1"/>
  <c r="Z215" i="10" s="1"/>
  <c r="W216" i="10"/>
  <c r="Y216" i="10" s="1"/>
  <c r="Z216" i="10" s="1"/>
  <c r="W217" i="10"/>
  <c r="Y217" i="10" s="1"/>
  <c r="Z217" i="10" s="1"/>
  <c r="W218" i="10"/>
  <c r="Y218" i="10" s="1"/>
  <c r="Z218" i="10" s="1"/>
  <c r="W219" i="10"/>
  <c r="Y219" i="10" s="1"/>
  <c r="Z219" i="10" s="1"/>
  <c r="W220" i="10"/>
  <c r="Y220" i="10" s="1"/>
  <c r="Z220" i="10" s="1"/>
  <c r="W221" i="10"/>
  <c r="Y221" i="10" s="1"/>
  <c r="Z221" i="10" s="1"/>
  <c r="W222" i="10"/>
  <c r="Y222" i="10" s="1"/>
  <c r="Z222" i="10" s="1"/>
  <c r="W223" i="10"/>
  <c r="Y223" i="10" s="1"/>
  <c r="Z223" i="10" s="1"/>
  <c r="W224" i="10"/>
  <c r="Y224" i="10" s="1"/>
  <c r="Z224" i="10" s="1"/>
  <c r="W225" i="10"/>
  <c r="Y225" i="10" s="1"/>
  <c r="Z225" i="10" s="1"/>
  <c r="W226" i="10"/>
  <c r="Y226" i="10" s="1"/>
  <c r="Z226" i="10" s="1"/>
  <c r="W227" i="10"/>
  <c r="Y227" i="10" s="1"/>
  <c r="Z227" i="10" s="1"/>
  <c r="W228" i="10"/>
  <c r="Y228" i="10" s="1"/>
  <c r="Z228" i="10" s="1"/>
  <c r="W229" i="10"/>
  <c r="Y229" i="10" s="1"/>
  <c r="Z229" i="10" s="1"/>
  <c r="W230" i="10"/>
  <c r="Y230" i="10" s="1"/>
  <c r="Z230" i="10" s="1"/>
  <c r="W231" i="10"/>
  <c r="Y231" i="10" s="1"/>
  <c r="Z231" i="10" s="1"/>
  <c r="W232" i="10"/>
  <c r="Y232" i="10" s="1"/>
  <c r="Z232" i="10" s="1"/>
  <c r="W233" i="10"/>
  <c r="Y233" i="10" s="1"/>
  <c r="Z233" i="10" s="1"/>
  <c r="W234" i="10"/>
  <c r="Y234" i="10" s="1"/>
  <c r="Z234" i="10" s="1"/>
  <c r="W235" i="10"/>
  <c r="Y235" i="10" s="1"/>
  <c r="Z235" i="10" s="1"/>
  <c r="W236" i="10"/>
  <c r="Y236" i="10" s="1"/>
  <c r="Z236" i="10" s="1"/>
  <c r="W237" i="10"/>
  <c r="Y237" i="10" s="1"/>
  <c r="Z237" i="10" s="1"/>
  <c r="W238" i="10"/>
  <c r="Y238" i="10" s="1"/>
  <c r="Z238" i="10" s="1"/>
  <c r="W239" i="10"/>
  <c r="Y239" i="10" s="1"/>
  <c r="Z239" i="10" s="1"/>
  <c r="W240" i="10"/>
  <c r="Y240" i="10" s="1"/>
  <c r="Z240" i="10" s="1"/>
  <c r="W241" i="10"/>
  <c r="Y241" i="10" s="1"/>
  <c r="Z241" i="10" s="1"/>
  <c r="W242" i="10"/>
  <c r="Y242" i="10" s="1"/>
  <c r="Z242" i="10" s="1"/>
  <c r="W243" i="10"/>
  <c r="Y243" i="10" s="1"/>
  <c r="Z243" i="10" s="1"/>
  <c r="W244" i="10"/>
  <c r="Y244" i="10" s="1"/>
  <c r="Z244" i="10" s="1"/>
  <c r="W245" i="10"/>
  <c r="Y245" i="10" s="1"/>
  <c r="Z245" i="10" s="1"/>
  <c r="W246" i="10"/>
  <c r="Y246" i="10" s="1"/>
  <c r="Z246" i="10" s="1"/>
  <c r="W247" i="10"/>
  <c r="Y247" i="10" s="1"/>
  <c r="Z247" i="10" s="1"/>
  <c r="W248" i="10"/>
  <c r="Y248" i="10" s="1"/>
  <c r="Z248" i="10" s="1"/>
  <c r="W249" i="10"/>
  <c r="Y249" i="10" s="1"/>
  <c r="Z249" i="10" s="1"/>
  <c r="W152" i="10"/>
  <c r="Y152" i="10" s="1"/>
  <c r="W153" i="10"/>
  <c r="Y153" i="10" s="1"/>
  <c r="W154" i="10"/>
  <c r="Y154" i="10" s="1"/>
  <c r="W155" i="10"/>
  <c r="Y155" i="10" s="1"/>
  <c r="W156" i="10"/>
  <c r="Y156" i="10" s="1"/>
  <c r="W157" i="10"/>
  <c r="Y157" i="10" s="1"/>
  <c r="W158" i="10"/>
  <c r="Y158" i="10" s="1"/>
  <c r="W159" i="10"/>
  <c r="Y159" i="10" s="1"/>
  <c r="W160" i="10"/>
  <c r="Y160" i="10" s="1"/>
  <c r="W161" i="10"/>
  <c r="Y161" i="10" s="1"/>
  <c r="W162" i="10"/>
  <c r="Y162" i="10" s="1"/>
  <c r="W163" i="10"/>
  <c r="Y163" i="10" s="1"/>
  <c r="W164" i="10"/>
  <c r="Y164" i="10" s="1"/>
  <c r="W165" i="10"/>
  <c r="Y165" i="10" s="1"/>
  <c r="W166" i="10"/>
  <c r="Y166" i="10" s="1"/>
  <c r="W167" i="10"/>
  <c r="Y167" i="10" s="1"/>
  <c r="W168" i="10"/>
  <c r="Y168" i="10" s="1"/>
  <c r="W169" i="10"/>
  <c r="Y169" i="10" s="1"/>
  <c r="W170" i="10"/>
  <c r="Y170" i="10" s="1"/>
  <c r="W72" i="10"/>
  <c r="Y72" i="10" s="1"/>
  <c r="W59" i="10"/>
  <c r="Y59" i="10" s="1"/>
  <c r="W86" i="10"/>
  <c r="Y86" i="10" s="1"/>
  <c r="W54" i="10"/>
  <c r="Y54" i="10" s="1"/>
  <c r="W52" i="10"/>
  <c r="Y52" i="10" s="1"/>
  <c r="W58" i="10"/>
  <c r="Y58" i="10" s="1"/>
  <c r="W74" i="10"/>
  <c r="Y74" i="10" s="1"/>
  <c r="W88" i="10"/>
  <c r="Y88" i="10" s="1"/>
  <c r="W65" i="10"/>
  <c r="Y65" i="10" s="1"/>
  <c r="W69" i="10"/>
  <c r="Y69" i="10" s="1"/>
  <c r="W64" i="10"/>
  <c r="Y64" i="10" s="1"/>
  <c r="W53" i="10"/>
  <c r="Y53" i="10" s="1"/>
  <c r="W77" i="10"/>
  <c r="Y77" i="10" s="1"/>
  <c r="W51" i="10"/>
  <c r="Y51" i="10" s="1"/>
  <c r="W79" i="10"/>
  <c r="Y79" i="10" s="1"/>
  <c r="W89" i="10"/>
  <c r="Y89" i="10" s="1"/>
  <c r="W70" i="10"/>
  <c r="Y70" i="10" s="1"/>
  <c r="W75" i="10"/>
  <c r="Y75" i="10" s="1"/>
  <c r="W55" i="10"/>
  <c r="Y55" i="10" s="1"/>
  <c r="W67" i="10"/>
  <c r="Y67" i="10" s="1"/>
  <c r="W61" i="10"/>
  <c r="Y61" i="10" s="1"/>
  <c r="W85" i="10"/>
  <c r="Y85" i="10" s="1"/>
  <c r="W63" i="10"/>
  <c r="Y63" i="10" s="1"/>
  <c r="W82" i="10"/>
  <c r="Y82" i="10" s="1"/>
  <c r="W87" i="10"/>
  <c r="Y87" i="10" s="1"/>
  <c r="W73" i="10"/>
  <c r="Y73" i="10" s="1"/>
  <c r="W68" i="10"/>
  <c r="Y68" i="10" s="1"/>
  <c r="W62" i="10"/>
  <c r="Y62" i="10" s="1"/>
  <c r="W76" i="10"/>
  <c r="Y76" i="10" s="1"/>
  <c r="W84" i="10"/>
  <c r="Y84" i="10" s="1"/>
  <c r="W56" i="10"/>
  <c r="Y56" i="10" s="1"/>
  <c r="W66" i="10"/>
  <c r="Y66" i="10" s="1"/>
  <c r="W71" i="10"/>
  <c r="Y71" i="10" s="1"/>
  <c r="W80" i="10"/>
  <c r="Y80" i="10" s="1"/>
  <c r="W57" i="10"/>
  <c r="Y57" i="10" s="1"/>
  <c r="W81" i="10"/>
  <c r="Y81" i="10" s="1"/>
  <c r="W60" i="10"/>
  <c r="Y60" i="10" s="1"/>
  <c r="W83" i="10"/>
  <c r="Y83" i="10" s="1"/>
  <c r="W78" i="10"/>
  <c r="Y78" i="10" s="1"/>
  <c r="W90" i="10"/>
  <c r="Y90" i="10" s="1"/>
  <c r="W91" i="10"/>
  <c r="Y91" i="10" s="1"/>
  <c r="W92" i="10"/>
  <c r="Y92" i="10" s="1"/>
  <c r="W93" i="10"/>
  <c r="Y93" i="10" s="1"/>
  <c r="W94" i="10"/>
  <c r="Y94" i="10" s="1"/>
  <c r="W95" i="10"/>
  <c r="Y95" i="10" s="1"/>
  <c r="W96" i="10"/>
  <c r="Y96" i="10" s="1"/>
  <c r="W97" i="10"/>
  <c r="Y97" i="10" s="1"/>
  <c r="W98" i="10"/>
  <c r="Y98" i="10" s="1"/>
  <c r="W99" i="10"/>
  <c r="Y99" i="10" s="1"/>
  <c r="W100" i="10"/>
  <c r="Y100" i="10" s="1"/>
  <c r="W101" i="10"/>
  <c r="Y101" i="10" s="1"/>
  <c r="W102" i="10"/>
  <c r="Y102" i="10" s="1"/>
  <c r="W103" i="10"/>
  <c r="Y103" i="10" s="1"/>
  <c r="W104" i="10"/>
  <c r="Y104" i="10" s="1"/>
  <c r="W105" i="10"/>
  <c r="Y105" i="10" s="1"/>
  <c r="W106" i="10"/>
  <c r="Y106" i="10" s="1"/>
  <c r="W107" i="10"/>
  <c r="Y107" i="10" s="1"/>
  <c r="W108" i="10"/>
  <c r="Y108" i="10" s="1"/>
  <c r="W109" i="10"/>
  <c r="Y109" i="10" s="1"/>
  <c r="W110" i="10"/>
  <c r="Y110" i="10" s="1"/>
  <c r="W111" i="10"/>
  <c r="Y111" i="10" s="1"/>
  <c r="W112" i="10"/>
  <c r="Y112" i="10" s="1"/>
  <c r="W113" i="10"/>
  <c r="Y113" i="10" s="1"/>
  <c r="W114" i="10"/>
  <c r="Y114" i="10" s="1"/>
  <c r="W115" i="10"/>
  <c r="Y115" i="10" s="1"/>
  <c r="W116" i="10"/>
  <c r="Y116" i="10" s="1"/>
  <c r="W117" i="10"/>
  <c r="Y117" i="10" s="1"/>
  <c r="W118" i="10"/>
  <c r="Y118" i="10" s="1"/>
  <c r="W119" i="10"/>
  <c r="Y119" i="10" s="1"/>
  <c r="W120" i="10"/>
  <c r="Y120" i="10" s="1"/>
  <c r="W121" i="10"/>
  <c r="Y121" i="10" s="1"/>
  <c r="W122" i="10"/>
  <c r="Y122" i="10" s="1"/>
  <c r="W123" i="10"/>
  <c r="Y123" i="10" s="1"/>
  <c r="W124" i="10"/>
  <c r="Y124" i="10" s="1"/>
  <c r="W125" i="10"/>
  <c r="Y125" i="10" s="1"/>
  <c r="W126" i="10"/>
  <c r="Y126" i="10" s="1"/>
  <c r="W127" i="10"/>
  <c r="Y127" i="10" s="1"/>
  <c r="W128" i="10"/>
  <c r="Y128" i="10" s="1"/>
  <c r="W129" i="10"/>
  <c r="Y129" i="10" s="1"/>
  <c r="W130" i="10"/>
  <c r="Y130" i="10" s="1"/>
  <c r="W131" i="10"/>
  <c r="Y131" i="10" s="1"/>
  <c r="W132" i="10"/>
  <c r="Y132" i="10" s="1"/>
  <c r="W133" i="10"/>
  <c r="Y133" i="10" s="1"/>
  <c r="W134" i="10"/>
  <c r="Y134" i="10" s="1"/>
  <c r="W135" i="10"/>
  <c r="Y135" i="10" s="1"/>
  <c r="W136" i="10"/>
  <c r="Y136" i="10" s="1"/>
  <c r="W137" i="10"/>
  <c r="Y137" i="10" s="1"/>
  <c r="W138" i="10"/>
  <c r="Y138" i="10" s="1"/>
  <c r="W139" i="10"/>
  <c r="Y139" i="10" s="1"/>
  <c r="W140" i="10"/>
  <c r="Y140" i="10" s="1"/>
  <c r="W141" i="10"/>
  <c r="Y141" i="10" s="1"/>
  <c r="W142" i="10"/>
  <c r="Y142" i="10" s="1"/>
  <c r="W143" i="10"/>
  <c r="Y143" i="10" s="1"/>
  <c r="W144" i="10"/>
  <c r="Y144" i="10" s="1"/>
  <c r="W145" i="10"/>
  <c r="Y145" i="10" s="1"/>
  <c r="W146" i="10"/>
  <c r="Y146" i="10" s="1"/>
  <c r="W147" i="10"/>
  <c r="Y147" i="10" s="1"/>
  <c r="W148" i="10"/>
  <c r="Y148" i="10" s="1"/>
  <c r="W149" i="10"/>
  <c r="Y149" i="10" s="1"/>
  <c r="W150" i="10"/>
  <c r="Y150" i="10" s="1"/>
  <c r="Z183" i="10" l="1"/>
  <c r="AA183" i="10" s="1"/>
  <c r="Z182" i="10"/>
  <c r="AA182" i="10" s="1"/>
  <c r="Z166" i="10"/>
  <c r="AA166" i="10" s="1"/>
  <c r="Z158" i="10"/>
  <c r="AA158" i="10" s="1"/>
  <c r="Z184" i="10"/>
  <c r="AA184" i="10" s="1"/>
  <c r="Z176" i="10"/>
  <c r="AA176" i="10" s="1"/>
  <c r="Z163" i="10"/>
  <c r="AA163" i="10" s="1"/>
  <c r="Z155" i="10"/>
  <c r="AA155" i="10" s="1"/>
  <c r="Z181" i="10"/>
  <c r="AA181" i="10" s="1"/>
  <c r="Z173" i="10"/>
  <c r="AA173" i="10" s="1"/>
  <c r="Z185" i="10"/>
  <c r="AA185" i="10" s="1"/>
  <c r="Z165" i="10"/>
  <c r="AA165" i="10" s="1"/>
  <c r="Z157" i="10"/>
  <c r="AA157" i="10" s="1"/>
  <c r="Z175" i="10"/>
  <c r="AA175" i="10" s="1"/>
  <c r="Z164" i="10"/>
  <c r="AA164" i="10" s="1"/>
  <c r="Z156" i="10"/>
  <c r="AA156" i="10" s="1"/>
  <c r="Z174" i="10"/>
  <c r="AA174" i="10" s="1"/>
  <c r="Z170" i="10"/>
  <c r="AA170" i="10" s="1"/>
  <c r="Z162" i="10"/>
  <c r="AA162" i="10" s="1"/>
  <c r="Z154" i="10"/>
  <c r="AA154" i="10" s="1"/>
  <c r="Z180" i="10"/>
  <c r="AA180" i="10" s="1"/>
  <c r="Z172" i="10"/>
  <c r="AA172" i="10" s="1"/>
  <c r="Z169" i="10"/>
  <c r="AA169" i="10" s="1"/>
  <c r="Z161" i="10"/>
  <c r="AA161" i="10" s="1"/>
  <c r="Z153" i="10"/>
  <c r="AA153" i="10" s="1"/>
  <c r="Z179" i="10"/>
  <c r="AA179" i="10" s="1"/>
  <c r="Z171" i="10"/>
  <c r="AA171" i="10" s="1"/>
  <c r="Z168" i="10"/>
  <c r="AA168" i="10" s="1"/>
  <c r="Z160" i="10"/>
  <c r="AA160" i="10" s="1"/>
  <c r="Z152" i="10"/>
  <c r="AA152" i="10" s="1"/>
  <c r="Z178" i="10"/>
  <c r="AA178" i="10" s="1"/>
  <c r="Z151" i="10"/>
  <c r="AA151" i="10" s="1"/>
  <c r="Z167" i="10"/>
  <c r="AA167" i="10" s="1"/>
  <c r="Z159" i="10"/>
  <c r="AA159" i="10" s="1"/>
  <c r="Z177" i="10"/>
  <c r="AA177" i="10" s="1"/>
  <c r="Z150" i="10"/>
  <c r="Z140" i="10"/>
  <c r="Z142" i="10"/>
  <c r="Z126" i="10"/>
  <c r="Z134" i="10"/>
  <c r="Z118" i="10"/>
  <c r="Z148" i="10"/>
  <c r="Z147" i="10"/>
  <c r="Z110" i="10"/>
  <c r="Z149" i="10"/>
  <c r="Z132" i="10"/>
  <c r="Z138" i="10"/>
  <c r="Z145" i="10"/>
  <c r="Z146" i="10"/>
  <c r="Z102" i="10"/>
  <c r="Z94" i="10"/>
  <c r="Z81" i="10"/>
  <c r="Z130" i="10"/>
  <c r="Z62" i="10"/>
  <c r="Z124" i="10"/>
  <c r="Z67" i="10"/>
  <c r="Z53" i="10"/>
  <c r="Z54" i="10"/>
  <c r="Z141" i="10"/>
  <c r="Z116" i="10"/>
  <c r="Z137" i="10"/>
  <c r="Z129" i="10"/>
  <c r="Z133" i="10"/>
  <c r="Z125" i="10"/>
  <c r="Z117" i="10"/>
  <c r="Z109" i="10"/>
  <c r="Z101" i="10"/>
  <c r="Z93" i="10"/>
  <c r="Z57" i="10"/>
  <c r="Z68" i="10"/>
  <c r="Z55" i="10"/>
  <c r="Z64" i="10"/>
  <c r="Z86" i="10"/>
  <c r="Z108" i="10"/>
  <c r="Z100" i="10"/>
  <c r="Z92" i="10"/>
  <c r="Z80" i="10"/>
  <c r="Z73" i="10"/>
  <c r="Z75" i="10"/>
  <c r="Z69" i="10"/>
  <c r="Z59" i="10"/>
  <c r="Z139" i="10"/>
  <c r="Z131" i="10"/>
  <c r="Z123" i="10"/>
  <c r="Z115" i="10"/>
  <c r="Z107" i="10"/>
  <c r="Z99" i="10"/>
  <c r="Z91" i="10"/>
  <c r="Z71" i="10"/>
  <c r="Z87" i="10"/>
  <c r="Z70" i="10"/>
  <c r="Z65" i="10"/>
  <c r="Z72" i="10"/>
  <c r="Z122" i="10"/>
  <c r="Z114" i="10"/>
  <c r="Z106" i="10"/>
  <c r="Z98" i="10"/>
  <c r="Z90" i="10"/>
  <c r="Z66" i="10"/>
  <c r="Z82" i="10"/>
  <c r="Z89" i="10"/>
  <c r="Z88" i="10"/>
  <c r="Z113" i="10"/>
  <c r="Z105" i="10"/>
  <c r="Z97" i="10"/>
  <c r="Z78" i="10"/>
  <c r="Z56" i="10"/>
  <c r="Z63" i="10"/>
  <c r="Z79" i="10"/>
  <c r="Z74" i="10"/>
  <c r="Z121" i="10"/>
  <c r="Z144" i="10"/>
  <c r="Z136" i="10"/>
  <c r="Z128" i="10"/>
  <c r="Z120" i="10"/>
  <c r="Z112" i="10"/>
  <c r="Z104" i="10"/>
  <c r="Z96" i="10"/>
  <c r="Z83" i="10"/>
  <c r="Z84" i="10"/>
  <c r="Z85" i="10"/>
  <c r="Z51" i="10"/>
  <c r="Z58" i="10"/>
  <c r="Z143" i="10"/>
  <c r="Z135" i="10"/>
  <c r="Z127" i="10"/>
  <c r="Z119" i="10"/>
  <c r="Z111" i="10"/>
  <c r="Z103" i="10"/>
  <c r="Z95" i="10"/>
  <c r="Z60" i="10"/>
  <c r="Z76" i="10"/>
  <c r="Z61" i="10"/>
  <c r="Z77" i="10"/>
  <c r="Z52" i="10"/>
  <c r="AA6" i="10"/>
  <c r="AA186" i="10"/>
  <c r="AA187" i="10"/>
  <c r="AA188" i="10"/>
  <c r="AA189" i="10"/>
  <c r="AA190" i="10"/>
  <c r="AA191" i="10"/>
  <c r="AA192" i="10"/>
  <c r="AA193" i="10"/>
  <c r="AA194" i="10"/>
  <c r="AA195" i="10"/>
  <c r="AA196" i="10"/>
  <c r="AA197" i="10"/>
  <c r="AA198" i="10"/>
  <c r="AA199" i="10"/>
  <c r="AA200" i="10"/>
  <c r="AA201" i="10"/>
  <c r="AA202" i="10"/>
  <c r="AA203" i="10"/>
  <c r="AA204" i="10"/>
  <c r="AA205" i="10"/>
  <c r="AA206" i="10"/>
  <c r="AA207" i="10"/>
  <c r="AA208" i="10"/>
  <c r="AA209" i="10"/>
  <c r="AA210" i="10"/>
  <c r="AA211" i="10"/>
  <c r="AA212" i="10"/>
  <c r="AA213" i="10"/>
  <c r="AA214" i="10"/>
  <c r="AA215" i="10"/>
  <c r="AA216" i="10"/>
  <c r="AA217" i="10"/>
  <c r="AA218" i="10"/>
  <c r="AA219" i="10"/>
  <c r="AA220" i="10"/>
  <c r="AA221" i="10"/>
  <c r="AA222" i="10"/>
  <c r="AA223" i="10"/>
  <c r="AA224" i="10"/>
  <c r="AA225" i="10"/>
  <c r="AA226" i="10"/>
  <c r="AA227" i="10"/>
  <c r="AA228" i="10"/>
  <c r="AA229" i="10"/>
  <c r="AA230" i="10"/>
  <c r="AA231" i="10"/>
  <c r="AA232" i="10"/>
  <c r="AA233" i="10"/>
  <c r="AA234" i="10"/>
  <c r="AA235" i="10"/>
  <c r="AA236" i="10"/>
  <c r="AA237" i="10"/>
  <c r="AA238" i="10"/>
  <c r="AA239" i="10"/>
  <c r="AA240" i="10"/>
  <c r="AA241" i="10"/>
  <c r="AA242" i="10"/>
  <c r="AA243" i="10"/>
  <c r="AA244" i="10"/>
  <c r="AA245" i="10"/>
  <c r="AA246" i="10"/>
  <c r="AA247" i="10"/>
  <c r="AA248" i="10"/>
  <c r="AA249" i="10"/>
  <c r="Z7" i="10" l="1"/>
  <c r="AB7" i="10"/>
  <c r="Z47" i="10" s="1"/>
  <c r="Z40" i="10" l="1"/>
  <c r="AA40" i="10" s="1"/>
  <c r="Z28" i="10"/>
  <c r="AA28" i="10" s="1"/>
  <c r="Z22" i="10"/>
  <c r="AA22" i="10" s="1"/>
  <c r="Z26" i="10"/>
  <c r="AA26" i="10" s="1"/>
  <c r="Z37" i="10"/>
  <c r="AA37" i="10" s="1"/>
  <c r="Z34" i="10"/>
  <c r="AA34" i="10" s="1"/>
  <c r="Z24" i="10"/>
  <c r="AA24" i="10" s="1"/>
  <c r="AA47" i="10"/>
  <c r="AB2" i="10" s="1"/>
  <c r="Z33" i="10"/>
  <c r="AA33" i="10" s="1"/>
  <c r="Z21" i="10"/>
  <c r="Z39" i="10"/>
  <c r="AA39" i="10" s="1"/>
  <c r="Z44" i="10"/>
  <c r="AA44" i="10" s="1"/>
  <c r="Z29" i="10"/>
  <c r="AA29" i="10" s="1"/>
  <c r="Z27" i="10"/>
  <c r="AA27" i="10" s="1"/>
  <c r="Z23" i="10"/>
  <c r="AA23" i="10" s="1"/>
  <c r="Z41" i="10"/>
  <c r="AA41" i="10" s="1"/>
  <c r="Z32" i="10"/>
  <c r="AA32" i="10" s="1"/>
  <c r="Z31" i="10"/>
  <c r="AA31" i="10" s="1"/>
  <c r="Z38" i="10"/>
  <c r="AA38" i="10" s="1"/>
  <c r="Z35" i="10"/>
  <c r="AA35" i="10" s="1"/>
  <c r="Z42" i="10"/>
  <c r="AA42" i="10" s="1"/>
  <c r="Z25" i="10"/>
  <c r="AA25" i="10" s="1"/>
  <c r="Z30" i="10"/>
  <c r="AA30" i="10" s="1"/>
  <c r="Z43" i="10"/>
  <c r="AA43" i="10" s="1"/>
  <c r="Z36" i="10"/>
  <c r="AA36" i="10" s="1"/>
  <c r="AA110" i="10"/>
  <c r="AA95" i="10"/>
  <c r="AA133" i="10"/>
  <c r="AA55" i="10"/>
  <c r="AA132" i="10"/>
  <c r="AA75" i="10"/>
  <c r="AA99" i="10"/>
  <c r="AA81" i="10"/>
  <c r="AA106" i="10"/>
  <c r="AA67" i="10"/>
  <c r="AA78" i="10"/>
  <c r="AA144" i="10"/>
  <c r="AA84" i="10"/>
  <c r="AA54" i="10"/>
  <c r="AA60" i="10"/>
  <c r="AA125" i="10"/>
  <c r="AA64" i="10"/>
  <c r="AA124" i="10"/>
  <c r="AA69" i="10"/>
  <c r="AA91" i="10"/>
  <c r="AA139" i="10"/>
  <c r="AA98" i="10"/>
  <c r="AA145" i="10"/>
  <c r="AA56" i="10"/>
  <c r="AA136" i="10"/>
  <c r="AA85" i="10"/>
  <c r="AA143" i="10"/>
  <c r="AA76" i="10"/>
  <c r="AA117" i="10"/>
  <c r="AA86" i="10"/>
  <c r="AA116" i="10"/>
  <c r="AA59" i="10"/>
  <c r="AA71" i="10"/>
  <c r="AA123" i="10"/>
  <c r="AA90" i="10"/>
  <c r="AA137" i="10"/>
  <c r="AA63" i="10"/>
  <c r="AA128" i="10"/>
  <c r="AA51" i="10"/>
  <c r="AA135" i="10"/>
  <c r="AA61" i="10"/>
  <c r="AA109" i="10"/>
  <c r="AA142" i="10"/>
  <c r="AA108" i="10"/>
  <c r="AA102" i="10"/>
  <c r="AA87" i="10"/>
  <c r="AA146" i="10"/>
  <c r="AA66" i="10"/>
  <c r="AA129" i="10"/>
  <c r="AA79" i="10"/>
  <c r="AA120" i="10"/>
  <c r="AA58" i="10"/>
  <c r="AA127" i="10"/>
  <c r="AA77" i="10"/>
  <c r="AA101" i="10"/>
  <c r="AA94" i="10"/>
  <c r="AA100" i="10"/>
  <c r="AA147" i="10"/>
  <c r="AA70" i="10"/>
  <c r="AA138" i="10"/>
  <c r="AA82" i="10"/>
  <c r="AA121" i="10"/>
  <c r="AA74" i="10"/>
  <c r="AA112" i="10"/>
  <c r="AA119" i="10"/>
  <c r="AA52" i="10"/>
  <c r="AA93" i="10"/>
  <c r="AA141" i="10"/>
  <c r="AA92" i="10"/>
  <c r="AA131" i="10"/>
  <c r="AA65" i="10"/>
  <c r="AA130" i="10"/>
  <c r="AA89" i="10"/>
  <c r="AA113" i="10"/>
  <c r="AA118" i="10"/>
  <c r="AA104" i="10"/>
  <c r="AA111" i="10"/>
  <c r="AA134" i="10"/>
  <c r="AA57" i="10"/>
  <c r="AA148" i="10"/>
  <c r="AA80" i="10"/>
  <c r="AA115" i="10"/>
  <c r="AA72" i="10"/>
  <c r="AA122" i="10"/>
  <c r="AA88" i="10"/>
  <c r="AA105" i="10"/>
  <c r="AA53" i="10"/>
  <c r="AA96" i="10"/>
  <c r="AA103" i="10"/>
  <c r="AA62" i="10"/>
  <c r="AA68" i="10"/>
  <c r="AA140" i="10"/>
  <c r="AA73" i="10"/>
  <c r="AA107" i="10"/>
  <c r="AA150" i="10"/>
  <c r="AA114" i="10"/>
  <c r="AA126" i="10"/>
  <c r="AA97" i="10"/>
  <c r="AA149" i="10"/>
  <c r="AA83" i="10"/>
  <c r="AA21" i="10" l="1"/>
  <c r="Z2" i="10" s="1"/>
  <c r="AB3" i="10"/>
  <c r="AB4" i="10"/>
  <c r="AA2" i="10"/>
  <c r="AB18" i="10"/>
  <c r="AB47" i="10" l="1"/>
  <c r="AB14" i="10" s="1"/>
  <c r="AA3" i="10"/>
  <c r="AA4" i="10"/>
  <c r="AA18" i="10"/>
  <c r="Z4" i="10"/>
  <c r="Z3" i="10"/>
  <c r="Z18" i="10"/>
  <c r="AB247" i="10" l="1"/>
  <c r="AB249" i="10"/>
  <c r="AB248" i="10"/>
  <c r="AB246" i="10"/>
  <c r="AB236" i="10"/>
  <c r="AB237" i="10"/>
  <c r="AB238" i="10"/>
  <c r="AB239" i="10"/>
  <c r="AB240" i="10"/>
  <c r="AB225" i="10"/>
  <c r="AB242" i="10"/>
  <c r="AB243" i="10"/>
  <c r="AB244" i="10"/>
  <c r="AB230" i="10"/>
  <c r="AB226" i="10"/>
  <c r="AB228" i="10"/>
  <c r="AB234" i="10"/>
  <c r="AB241" i="10"/>
  <c r="AB227" i="10"/>
  <c r="AB229" i="10"/>
  <c r="AB231" i="10"/>
  <c r="AB233" i="10"/>
  <c r="AB245" i="10"/>
  <c r="AB232" i="10"/>
  <c r="AB235" i="10"/>
  <c r="AB220" i="10"/>
  <c r="AB222" i="10"/>
  <c r="AB223" i="10"/>
  <c r="AB219" i="10"/>
  <c r="AB224" i="10"/>
  <c r="AB221" i="10"/>
  <c r="AB206" i="10"/>
  <c r="AB211" i="10"/>
  <c r="AB213" i="10"/>
  <c r="AB215" i="10"/>
  <c r="AB207" i="10"/>
  <c r="AB209" i="10"/>
  <c r="AB214" i="10"/>
  <c r="AB216" i="10"/>
  <c r="AB202" i="10"/>
  <c r="AB208" i="10"/>
  <c r="AB198" i="10"/>
  <c r="AB197" i="10"/>
  <c r="AB201" i="10"/>
  <c r="AB204" i="10"/>
  <c r="AB210" i="10"/>
  <c r="AB196" i="10"/>
  <c r="AB212" i="10"/>
  <c r="AB199" i="10"/>
  <c r="AB195" i="10"/>
  <c r="AB217" i="10"/>
  <c r="AB218" i="10"/>
  <c r="AB200" i="10"/>
  <c r="AB203" i="10"/>
  <c r="AB205" i="10"/>
  <c r="AB194" i="10"/>
  <c r="AB193" i="10"/>
  <c r="AB188" i="10"/>
  <c r="AB192" i="10"/>
  <c r="AB187" i="10"/>
  <c r="AB189" i="10"/>
  <c r="AB191" i="10"/>
  <c r="AB186" i="10"/>
  <c r="AB190" i="10"/>
  <c r="G25" i="8"/>
  <c r="G24" i="8" s="1"/>
  <c r="G26" i="8" s="1"/>
  <c r="AB185" i="10"/>
  <c r="AB181" i="10"/>
  <c r="AB182" i="10"/>
  <c r="AB183" i="10"/>
  <c r="AB184" i="10"/>
  <c r="AB174" i="10"/>
  <c r="AB155" i="10"/>
  <c r="AB163" i="10"/>
  <c r="AB164" i="10"/>
  <c r="AB165" i="10"/>
  <c r="AB177" i="10"/>
  <c r="AB167" i="10"/>
  <c r="AB175" i="10"/>
  <c r="AB156" i="10"/>
  <c r="AB157" i="10"/>
  <c r="AB166" i="10"/>
  <c r="AB176" i="10"/>
  <c r="AB158" i="10"/>
  <c r="AB151" i="10"/>
  <c r="AB171" i="10"/>
  <c r="AB179" i="10"/>
  <c r="AB152" i="10"/>
  <c r="AB160" i="10"/>
  <c r="AB168" i="10"/>
  <c r="AB161" i="10"/>
  <c r="AB173" i="10"/>
  <c r="AB154" i="10"/>
  <c r="AB170" i="10"/>
  <c r="AB172" i="10"/>
  <c r="AB180" i="10"/>
  <c r="AB153" i="10"/>
  <c r="AB169" i="10"/>
  <c r="AB162" i="10"/>
  <c r="AB178" i="10"/>
  <c r="AB159" i="10"/>
  <c r="AB9" i="10"/>
  <c r="AB10" i="10" s="1"/>
  <c r="AB11" i="10" s="1"/>
  <c r="AB58" i="10"/>
  <c r="AB61" i="10"/>
  <c r="AB97" i="10"/>
  <c r="AB73" i="10"/>
  <c r="AB82" i="10"/>
  <c r="AB64" i="10"/>
  <c r="AB100" i="10"/>
  <c r="AB108" i="10"/>
  <c r="AB116" i="10"/>
  <c r="AB124" i="10"/>
  <c r="AB132" i="10"/>
  <c r="AB140" i="10"/>
  <c r="AB148" i="10"/>
  <c r="AB77" i="10"/>
  <c r="AB79" i="10"/>
  <c r="AB60" i="10"/>
  <c r="AB125" i="10"/>
  <c r="AB53" i="10"/>
  <c r="AB111" i="10"/>
  <c r="AB133" i="10"/>
  <c r="AB59" i="10"/>
  <c r="AB74" i="10"/>
  <c r="AB65" i="10"/>
  <c r="AB68" i="10"/>
  <c r="AB67" i="10"/>
  <c r="AB94" i="10"/>
  <c r="AB102" i="10"/>
  <c r="AB110" i="10"/>
  <c r="AB118" i="10"/>
  <c r="AB126" i="10"/>
  <c r="AB134" i="10"/>
  <c r="AB142" i="10"/>
  <c r="AB150" i="10"/>
  <c r="AB95" i="10"/>
  <c r="AB103" i="10"/>
  <c r="AB143" i="10"/>
  <c r="AB54" i="10"/>
  <c r="AB83" i="10"/>
  <c r="AB71" i="10"/>
  <c r="AB81" i="10"/>
  <c r="AB55" i="10"/>
  <c r="AB70" i="10"/>
  <c r="AB104" i="10"/>
  <c r="AB112" i="10"/>
  <c r="AB120" i="10"/>
  <c r="AB128" i="10"/>
  <c r="AB136" i="10"/>
  <c r="AB144" i="10"/>
  <c r="AB80" i="10"/>
  <c r="AB72" i="10"/>
  <c r="AB98" i="10"/>
  <c r="AB114" i="10"/>
  <c r="AB130" i="10"/>
  <c r="AB146" i="10"/>
  <c r="AB88" i="10"/>
  <c r="AB117" i="10"/>
  <c r="AB57" i="10"/>
  <c r="AB92" i="10"/>
  <c r="AB135" i="10"/>
  <c r="AB91" i="10"/>
  <c r="AB52" i="10"/>
  <c r="AB62" i="10"/>
  <c r="AB87" i="10"/>
  <c r="AB84" i="10"/>
  <c r="AB93" i="10"/>
  <c r="AB105" i="10"/>
  <c r="AB113" i="10"/>
  <c r="AB121" i="10"/>
  <c r="AB129" i="10"/>
  <c r="AB137" i="10"/>
  <c r="AB145" i="10"/>
  <c r="AB96" i="10"/>
  <c r="AB76" i="10"/>
  <c r="AB78" i="10"/>
  <c r="AB106" i="10"/>
  <c r="AB122" i="10"/>
  <c r="AB138" i="10"/>
  <c r="AB89" i="10"/>
  <c r="AB109" i="10"/>
  <c r="AB149" i="10"/>
  <c r="AB63" i="10"/>
  <c r="AB119" i="10"/>
  <c r="AB86" i="10"/>
  <c r="AB69" i="10"/>
  <c r="AB66" i="10"/>
  <c r="AB51" i="10"/>
  <c r="AB90" i="10"/>
  <c r="AB56" i="10"/>
  <c r="AB99" i="10"/>
  <c r="AB107" i="10"/>
  <c r="AB115" i="10"/>
  <c r="AB123" i="10"/>
  <c r="AB131" i="10"/>
  <c r="AB139" i="10"/>
  <c r="AB147" i="10"/>
  <c r="AB75" i="10"/>
  <c r="AB101" i="10"/>
  <c r="AB141" i="10"/>
  <c r="AB85" i="10"/>
  <c r="AB127" i="10"/>
  <c r="AB37" i="10"/>
  <c r="AB41" i="10"/>
  <c r="AB30" i="10"/>
  <c r="AB43" i="10"/>
  <c r="AB26" i="10"/>
  <c r="AB29" i="10"/>
  <c r="AB31" i="10"/>
  <c r="AB24" i="10"/>
  <c r="AB22" i="10"/>
  <c r="AB28" i="10"/>
  <c r="AB21" i="10"/>
  <c r="AB35" i="10"/>
  <c r="AB23" i="10"/>
  <c r="AB27" i="10"/>
  <c r="AB40" i="10"/>
  <c r="AB39" i="10"/>
  <c r="AB25" i="10"/>
  <c r="AB42" i="10"/>
  <c r="AB32" i="10"/>
  <c r="AB33" i="10"/>
  <c r="AB34" i="10"/>
  <c r="AB44" i="10"/>
  <c r="AB36" i="10"/>
  <c r="AB38" i="10"/>
  <c r="G28" i="8" l="1"/>
  <c r="S30" i="8"/>
  <c r="S31" i="8" s="1"/>
  <c r="G27" i="8"/>
  <c r="L28" i="8"/>
  <c r="S28" i="8"/>
  <c r="AA14" i="10"/>
  <c r="AB16" i="10" s="1"/>
  <c r="G22" i="8" s="1"/>
  <c r="C66" i="13" s="1"/>
  <c r="AA9" i="10"/>
  <c r="AE11" i="10" s="1"/>
  <c r="Z14" i="10"/>
  <c r="Z9" i="10"/>
  <c r="AD11" i="10" s="1"/>
  <c r="AA10" i="10" l="1"/>
  <c r="AE9" i="10" s="1"/>
  <c r="Z10" i="10"/>
  <c r="Z15" i="10"/>
  <c r="Z16" i="10" s="1"/>
  <c r="D86" i="5"/>
  <c r="G21" i="8" l="1"/>
  <c r="C65" i="13" s="1"/>
  <c r="AD9" i="10"/>
  <c r="AD12" i="10" s="1"/>
  <c r="Z11" i="10"/>
  <c r="G19" i="8" s="1"/>
  <c r="AA11" i="10"/>
  <c r="G20" i="8" s="1"/>
  <c r="AE12" i="10"/>
  <c r="C86" i="5"/>
  <c r="C64" i="13" l="1"/>
  <c r="B64" i="13"/>
  <c r="C63" i="13"/>
  <c r="B63" i="13"/>
  <c r="D84" i="5"/>
  <c r="D82" i="5"/>
  <c r="E30" i="5"/>
  <c r="C82" i="5"/>
  <c r="AR26" i="5"/>
  <c r="C84" i="5"/>
  <c r="C67" i="13" l="1"/>
  <c r="E33" i="8" s="1"/>
  <c r="E31" i="5"/>
  <c r="E29" i="5"/>
  <c r="DK23" i="5"/>
  <c r="DK24" i="5" s="1"/>
  <c r="DK25" i="5" s="1"/>
  <c r="DK26" i="5" s="1"/>
  <c r="DK27" i="5" s="1"/>
  <c r="DK28" i="5" s="1"/>
  <c r="DK29" i="5" s="1"/>
  <c r="DK30" i="5" s="1"/>
  <c r="DK31" i="5" s="1"/>
  <c r="DK32" i="5" s="1"/>
  <c r="DK33" i="5" s="1"/>
  <c r="DK34" i="5" s="1"/>
  <c r="DK35" i="5" s="1"/>
  <c r="DK36" i="5" s="1"/>
  <c r="DK37" i="5" s="1"/>
  <c r="DK38" i="5" s="1"/>
  <c r="DK3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SESA43540</author>
  </authors>
  <commentList>
    <comment ref="G12" authorId="0" shapeId="0" xr:uid="{69D567CA-0BCD-4826-9F9D-F351E024BD8F}">
      <text>
        <r>
          <rPr>
            <b/>
            <sz val="9"/>
            <color indexed="81"/>
            <rFont val="Tahoma"/>
            <family val="2"/>
          </rPr>
          <t>SESA43540:</t>
        </r>
        <r>
          <rPr>
            <sz val="9"/>
            <color indexed="81"/>
            <rFont val="Tahoma"/>
            <family val="2"/>
          </rPr>
          <t xml:space="preserve">
Seb's file : 0.55mm</t>
        </r>
      </text>
    </comment>
    <comment ref="G13" authorId="0" shapeId="0" xr:uid="{3D5C8002-0FA1-48A9-A09F-9124F62D6489}">
      <text>
        <r>
          <rPr>
            <b/>
            <sz val="9"/>
            <color indexed="81"/>
            <rFont val="Tahoma"/>
            <family val="2"/>
          </rPr>
          <t>SESA43540:</t>
        </r>
        <r>
          <rPr>
            <sz val="9"/>
            <color indexed="81"/>
            <rFont val="Tahoma"/>
            <family val="2"/>
          </rPr>
          <t xml:space="preserve">
Seb's file : 0.56mm</t>
        </r>
      </text>
    </comment>
    <comment ref="J13" authorId="0" shapeId="0" xr:uid="{08432B78-4B11-487A-9974-E0A75CB561BC}">
      <text>
        <r>
          <rPr>
            <b/>
            <sz val="9"/>
            <color indexed="81"/>
            <rFont val="Tahoma"/>
            <family val="2"/>
          </rPr>
          <t>SESA43540:</t>
        </r>
        <r>
          <rPr>
            <sz val="9"/>
            <color indexed="81"/>
            <rFont val="Tahoma"/>
            <family val="2"/>
          </rPr>
          <t xml:space="preserve">
Seb's file : 7.7mm</t>
        </r>
      </text>
    </comment>
    <comment ref="J22" authorId="0" shapeId="0" xr:uid="{95D9646A-A3D2-48D0-B23E-FC8025821459}">
      <text>
        <r>
          <rPr>
            <b/>
            <sz val="9"/>
            <color indexed="81"/>
            <rFont val="Tahoma"/>
            <family val="2"/>
          </rPr>
          <t>SESA43540:</t>
        </r>
        <r>
          <rPr>
            <sz val="9"/>
            <color indexed="81"/>
            <rFont val="Tahoma"/>
            <family val="2"/>
          </rPr>
          <t xml:space="preserve">
Seb's file : 7mm</t>
        </r>
      </text>
    </comment>
    <comment ref="J24" authorId="0" shapeId="0" xr:uid="{B914DB1C-93C1-4E9F-8CC9-A93E9DC2E18F}">
      <text>
        <r>
          <rPr>
            <b/>
            <sz val="9"/>
            <color indexed="81"/>
            <rFont val="Tahoma"/>
            <family val="2"/>
          </rPr>
          <t>SESA43540:</t>
        </r>
        <r>
          <rPr>
            <sz val="9"/>
            <color indexed="81"/>
            <rFont val="Tahoma"/>
            <family val="2"/>
          </rPr>
          <t xml:space="preserve">
Seb's file : 7.4mm</t>
        </r>
      </text>
    </comment>
    <comment ref="J25" authorId="0" shapeId="0" xr:uid="{F533DF1F-D6AE-4E75-A33E-C7495887DC98}">
      <text>
        <r>
          <rPr>
            <b/>
            <sz val="9"/>
            <color indexed="81"/>
            <rFont val="Tahoma"/>
            <family val="2"/>
          </rPr>
          <t>SESA43540:</t>
        </r>
        <r>
          <rPr>
            <sz val="9"/>
            <color indexed="81"/>
            <rFont val="Tahoma"/>
            <family val="2"/>
          </rPr>
          <t xml:space="preserve">
Seb's file : 7.3mm</t>
        </r>
      </text>
    </comment>
    <comment ref="J26" authorId="0" shapeId="0" xr:uid="{B167E381-0021-4DF6-90A2-08D557A65578}">
      <text>
        <r>
          <rPr>
            <b/>
            <sz val="9"/>
            <color indexed="81"/>
            <rFont val="Tahoma"/>
            <family val="2"/>
          </rPr>
          <t>SESA43540:</t>
        </r>
        <r>
          <rPr>
            <sz val="9"/>
            <color indexed="81"/>
            <rFont val="Tahoma"/>
            <family val="2"/>
          </rPr>
          <t xml:space="preserve">
Seb's file : 7.7mm</t>
        </r>
      </text>
    </comment>
    <comment ref="J27" authorId="0" shapeId="0" xr:uid="{6AF34AF8-AD6C-44B4-8AA0-6D9832284B35}">
      <text>
        <r>
          <rPr>
            <b/>
            <sz val="9"/>
            <color indexed="81"/>
            <rFont val="Tahoma"/>
            <family val="2"/>
          </rPr>
          <t>SESA43540:</t>
        </r>
        <r>
          <rPr>
            <sz val="9"/>
            <color indexed="81"/>
            <rFont val="Tahoma"/>
            <family val="2"/>
          </rPr>
          <t xml:space="preserve">
Seb's file : 7.3mm</t>
        </r>
      </text>
    </comment>
    <comment ref="G29" authorId="0" shapeId="0" xr:uid="{84D42883-EE73-4D06-99AB-A0BBF10839AC}">
      <text>
        <r>
          <rPr>
            <b/>
            <sz val="9"/>
            <color indexed="81"/>
            <rFont val="Tahoma"/>
            <family val="2"/>
          </rPr>
          <t>SESA43540:</t>
        </r>
        <r>
          <rPr>
            <sz val="9"/>
            <color indexed="81"/>
            <rFont val="Tahoma"/>
            <family val="2"/>
          </rPr>
          <t xml:space="preserve">
Seb's file : 0.565mm</t>
        </r>
      </text>
    </comment>
    <comment ref="G31" authorId="0" shapeId="0" xr:uid="{3D712CD5-6B8A-454B-BC9F-97A2BBA3D8E9}">
      <text>
        <r>
          <rPr>
            <b/>
            <sz val="9"/>
            <color indexed="81"/>
            <rFont val="Tahoma"/>
            <family val="2"/>
          </rPr>
          <t>SESA43540:</t>
        </r>
        <r>
          <rPr>
            <sz val="9"/>
            <color indexed="81"/>
            <rFont val="Tahoma"/>
            <family val="2"/>
          </rPr>
          <t xml:space="preserve">
Seb's file : 0.565mm</t>
        </r>
      </text>
    </comment>
    <comment ref="G32" authorId="0" shapeId="0" xr:uid="{A8256265-B251-44CF-AD40-9D21B57EFBB8}">
      <text>
        <r>
          <rPr>
            <b/>
            <sz val="9"/>
            <color indexed="81"/>
            <rFont val="Tahoma"/>
            <family val="2"/>
          </rPr>
          <t>SESA43540:</t>
        </r>
        <r>
          <rPr>
            <sz val="9"/>
            <color indexed="81"/>
            <rFont val="Tahoma"/>
            <family val="2"/>
          </rPr>
          <t xml:space="preserve">
Seb's file : 0.565mm</t>
        </r>
      </text>
    </comment>
    <comment ref="J32" authorId="0" shapeId="0" xr:uid="{979E2C10-18A1-44CA-B931-80B943611DF5}">
      <text>
        <r>
          <rPr>
            <b/>
            <sz val="9"/>
            <color indexed="81"/>
            <rFont val="Tahoma"/>
            <family val="2"/>
          </rPr>
          <t>SESA43540:</t>
        </r>
        <r>
          <rPr>
            <sz val="9"/>
            <color indexed="81"/>
            <rFont val="Tahoma"/>
            <family val="2"/>
          </rPr>
          <t xml:space="preserve">
Seb's file : 7.3mm</t>
        </r>
      </text>
    </comment>
    <comment ref="G33" authorId="0" shapeId="0" xr:uid="{224EA3D8-37E6-4518-B175-2C0137F09D22}">
      <text>
        <r>
          <rPr>
            <b/>
            <sz val="9"/>
            <color indexed="81"/>
            <rFont val="Tahoma"/>
            <family val="2"/>
          </rPr>
          <t>SESA43540:</t>
        </r>
        <r>
          <rPr>
            <sz val="9"/>
            <color indexed="81"/>
            <rFont val="Tahoma"/>
            <family val="2"/>
          </rPr>
          <t xml:space="preserve">
Seb's file : 0.565mm</t>
        </r>
      </text>
    </comment>
    <comment ref="J33" authorId="0" shapeId="0" xr:uid="{C78AA381-CFBB-4200-9A36-50CF055B873C}">
      <text>
        <r>
          <rPr>
            <b/>
            <sz val="9"/>
            <color indexed="81"/>
            <rFont val="Tahoma"/>
            <family val="2"/>
          </rPr>
          <t>SESA43540:</t>
        </r>
        <r>
          <rPr>
            <sz val="9"/>
            <color indexed="81"/>
            <rFont val="Tahoma"/>
            <family val="2"/>
          </rPr>
          <t xml:space="preserve">
Seb's file : 7.9mm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Francois DURAND</author>
  </authors>
  <commentList>
    <comment ref="P4" authorId="0" shapeId="0" xr:uid="{53344E4A-71AF-45BB-84A9-7F2432050664}">
      <text>
        <r>
          <rPr>
            <b/>
            <sz val="9"/>
            <color indexed="81"/>
            <rFont val="Tahoma"/>
            <family val="2"/>
          </rPr>
          <t>Schneider Electric:
2 options here:
set the Power @ PD (powered device)
or the current running on all pairs to 1 Amp</t>
        </r>
        <r>
          <rPr>
            <sz val="9"/>
            <color indexed="81"/>
            <rFont val="Tahoma"/>
            <family val="2"/>
          </rPr>
          <t xml:space="preserve">
</t>
        </r>
      </text>
    </comment>
  </commentList>
</comments>
</file>

<file path=xl/sharedStrings.xml><?xml version="1.0" encoding="utf-8"?>
<sst xmlns="http://schemas.openxmlformats.org/spreadsheetml/2006/main" count="1821" uniqueCount="507">
  <si>
    <t>Cable reference</t>
  </si>
  <si>
    <t>Category</t>
  </si>
  <si>
    <t>Construction</t>
  </si>
  <si>
    <t>Supplier</t>
  </si>
  <si>
    <t>Copper diameter</t>
  </si>
  <si>
    <t>Insulation</t>
  </si>
  <si>
    <t>NVP</t>
  </si>
  <si>
    <t>Overal diameter (mm)</t>
  </si>
  <si>
    <t>Fire load (MJ/km)</t>
  </si>
  <si>
    <t>Cable weight (kg/km)</t>
  </si>
  <si>
    <t>Avg twist step</t>
  </si>
  <si>
    <t>Avg resistance per conductor (ohm/km)</t>
  </si>
  <si>
    <t>IL(°C) coeff &lt; 40°C</t>
  </si>
  <si>
    <t>IL(°C) coeff &gt; 40°C</t>
  </si>
  <si>
    <t>Construction (for heating consideration)</t>
  </si>
  <si>
    <t>Cable constant</t>
  </si>
  <si>
    <t>Theoretical copper content</t>
  </si>
  <si>
    <t>Copper content (kg/km)</t>
  </si>
  <si>
    <t>Drain wire</t>
  </si>
  <si>
    <t>Copper wire content</t>
  </si>
  <si>
    <t>Patch AWG28 U</t>
  </si>
  <si>
    <t>VDICD116---</t>
  </si>
  <si>
    <t>VDICD116018WHD</t>
  </si>
  <si>
    <t>VDICD116118GHD</t>
  </si>
  <si>
    <t>VDICD416118</t>
  </si>
  <si>
    <t>VDICD176218</t>
  </si>
  <si>
    <t>VDICD60X218</t>
  </si>
  <si>
    <t>VDICD687218</t>
  </si>
  <si>
    <t>Cat.5e</t>
  </si>
  <si>
    <t>U/UTP</t>
  </si>
  <si>
    <t>Nexans</t>
  </si>
  <si>
    <t>F/UTP</t>
  </si>
  <si>
    <t>Cat.6</t>
  </si>
  <si>
    <t>Prysmian</t>
  </si>
  <si>
    <t>SF/UTP</t>
  </si>
  <si>
    <t>XTP</t>
  </si>
  <si>
    <t>U/FTP</t>
  </si>
  <si>
    <t>Cat.6A</t>
  </si>
  <si>
    <t>F/FTP</t>
  </si>
  <si>
    <t>Cat.7</t>
  </si>
  <si>
    <t>Cat.7A</t>
  </si>
  <si>
    <t>S/FTP</t>
  </si>
  <si>
    <t>ACTTG4P6ASCM3RBU</t>
  </si>
  <si>
    <t>ACTTG4P6ASLS3RWE</t>
  </si>
  <si>
    <t>ACT4P6UCM3RBBU</t>
  </si>
  <si>
    <t>ACT4P6ULS3RBWE</t>
  </si>
  <si>
    <t>VDICD136018</t>
  </si>
  <si>
    <t>CAB LAN FUTP 4P CAT6 250 MHZ LSZH 100M</t>
  </si>
  <si>
    <t>VDICC116218</t>
  </si>
  <si>
    <t>CAB LAN UUTP 4P CAT6 250 MHZ LSZH 500M</t>
  </si>
  <si>
    <t>VDICC62X218</t>
  </si>
  <si>
    <t>CAB LAN UFTP 4P CAT6A 550 MHZ LSZH 500M</t>
  </si>
  <si>
    <t>CAB LAN MX FFTP 4P CAT7 LSZH 500M</t>
  </si>
  <si>
    <t>VDICD687228</t>
  </si>
  <si>
    <t>CAB LAN MX FFTP 2X4P CAT7 LSZH 500M</t>
  </si>
  <si>
    <t>VDICD136028</t>
  </si>
  <si>
    <t>CAB LAN FUTP 2x4P CAT6 250 MHZ LSZH 100M</t>
  </si>
  <si>
    <t>VDICC657218</t>
  </si>
  <si>
    <t>CAB LAN SFTP CAT7 Cca 500m</t>
  </si>
  <si>
    <t>VDICD657218</t>
  </si>
  <si>
    <t>CAB LAN SFTP CAT7 Dca 500m</t>
  </si>
  <si>
    <t>VDICC60X218</t>
  </si>
  <si>
    <t>CAB LAN UUTP 4P CAT6a 500 MHZ LSZH 500M</t>
  </si>
  <si>
    <t>NEXANS</t>
  </si>
  <si>
    <t>FUMAY - FRANCE</t>
  </si>
  <si>
    <t>PRYSMIAN</t>
  </si>
  <si>
    <t>WASHINGTON -UK</t>
  </si>
  <si>
    <t>NUREMBERG - GERMANY</t>
  </si>
  <si>
    <t>Categories</t>
  </si>
  <si>
    <t>Constructions</t>
  </si>
  <si>
    <t>List #1</t>
  </si>
  <si>
    <t>List #2</t>
  </si>
  <si>
    <t>Cat.5e_1</t>
  </si>
  <si>
    <t>Cat.5e_2</t>
  </si>
  <si>
    <t>Cat.6_1</t>
  </si>
  <si>
    <t>Cat.6_2</t>
  </si>
  <si>
    <t>Cat.6_3</t>
  </si>
  <si>
    <t>Cat.6_4</t>
  </si>
  <si>
    <t>Cat.6A_1</t>
  </si>
  <si>
    <t>Cat.6A_2</t>
  </si>
  <si>
    <t>Cat.6A_3</t>
  </si>
  <si>
    <t>Cat.6A_4</t>
  </si>
  <si>
    <t>Cat.6A_5</t>
  </si>
  <si>
    <t>Cat.7A_1</t>
  </si>
  <si>
    <t>Cat.7A_2</t>
  </si>
  <si>
    <t>Cat.7_1</t>
  </si>
  <si>
    <t>Value_1</t>
  </si>
  <si>
    <t>Value_2</t>
  </si>
  <si>
    <r>
      <t>ρ</t>
    </r>
    <r>
      <rPr>
        <vertAlign val="subscript"/>
        <sz val="11"/>
        <color theme="1"/>
        <rFont val="Calibri"/>
        <family val="2"/>
        <scheme val="minor"/>
      </rPr>
      <t>u</t>
    </r>
    <r>
      <rPr>
        <sz val="11"/>
        <color theme="1"/>
        <rFont val="Calibri"/>
        <family val="2"/>
        <scheme val="minor"/>
      </rPr>
      <t xml:space="preserve"> is the constant relating to installation environment</t>
    </r>
  </si>
  <si>
    <t>Under ventilated conditions</t>
  </si>
  <si>
    <t>In plastic conduits or open metal trays</t>
  </si>
  <si>
    <t>In closed metal trays</t>
  </si>
  <si>
    <t>With insulation</t>
  </si>
  <si>
    <r>
      <t>ρ</t>
    </r>
    <r>
      <rPr>
        <vertAlign val="subscript"/>
        <sz val="11"/>
        <color theme="1"/>
        <rFont val="Calibri"/>
        <family val="2"/>
        <scheme val="minor"/>
      </rPr>
      <t>th</t>
    </r>
    <r>
      <rPr>
        <sz val="11"/>
        <color theme="1"/>
        <rFont val="Calibri"/>
        <family val="2"/>
        <scheme val="minor"/>
      </rPr>
      <t xml:space="preserve"> is a constant relating to cable construction</t>
    </r>
  </si>
  <si>
    <t>Nb of cond</t>
  </si>
  <si>
    <t>Ic min</t>
  </si>
  <si>
    <t>Ic max</t>
  </si>
  <si>
    <t>I</t>
  </si>
  <si>
    <t>PoE app</t>
  </si>
  <si>
    <t>PoE</t>
  </si>
  <si>
    <t>PoE+</t>
  </si>
  <si>
    <t>4p-PoE type 3</t>
  </si>
  <si>
    <t>4p-PoE type 4</t>
  </si>
  <si>
    <t>PD input power</t>
  </si>
  <si>
    <t>Class</t>
  </si>
  <si>
    <t>Min Vpse</t>
  </si>
  <si>
    <t>Max Ppse</t>
  </si>
  <si>
    <t>Nb of conductors</t>
  </si>
  <si>
    <t>Exceeds class 8</t>
  </si>
  <si>
    <t>N/A</t>
  </si>
  <si>
    <t>Nb cond list</t>
  </si>
  <si>
    <t>Dca</t>
  </si>
  <si>
    <t>List #3</t>
  </si>
  <si>
    <t>Cca</t>
  </si>
  <si>
    <t>CR</t>
  </si>
  <si>
    <t>Euroclass 1</t>
  </si>
  <si>
    <t>Euroclass 2</t>
  </si>
  <si>
    <t>Euroclass 3</t>
  </si>
  <si>
    <t>Euroclass 4</t>
  </si>
  <si>
    <t>60X218</t>
  </si>
  <si>
    <t>62X218</t>
  </si>
  <si>
    <t>63X218</t>
  </si>
  <si>
    <t>64X218</t>
  </si>
  <si>
    <t>68X218</t>
  </si>
  <si>
    <t>Value_3</t>
  </si>
  <si>
    <t>E-number Denmark</t>
  </si>
  <si>
    <t>E-number Finland</t>
  </si>
  <si>
    <t>E-number Norway</t>
  </si>
  <si>
    <t>E-number Sweden</t>
  </si>
  <si>
    <t>VDICD115218</t>
  </si>
  <si>
    <t>VDICD135218</t>
  </si>
  <si>
    <t>VDICD116218</t>
  </si>
  <si>
    <t>VDICD136218</t>
  </si>
  <si>
    <t>VDICD626218</t>
  </si>
  <si>
    <t>VDICD13X218</t>
  </si>
  <si>
    <t>VDICD63X218</t>
  </si>
  <si>
    <t>VDICD62X218</t>
  </si>
  <si>
    <t>VDICD64X218</t>
  </si>
  <si>
    <t>VDICC64X218</t>
  </si>
  <si>
    <t>VDICD68X218</t>
  </si>
  <si>
    <t>VDICC68X218</t>
  </si>
  <si>
    <t>VDICD648218</t>
  </si>
  <si>
    <t>VDICC648218</t>
  </si>
  <si>
    <t>VDICD658218</t>
  </si>
  <si>
    <t>VDICC658218</t>
  </si>
  <si>
    <t>Length</t>
  </si>
  <si>
    <t>Cords @ FD</t>
  </si>
  <si>
    <t>Cords @ TO</t>
  </si>
  <si>
    <t>AWG24/7</t>
  </si>
  <si>
    <t>AWG26/7</t>
  </si>
  <si>
    <t>Copper gauge</t>
  </si>
  <si>
    <t>AWG26/7_1</t>
  </si>
  <si>
    <t>AWG26/7_2</t>
  </si>
  <si>
    <t>AWG26/7_3</t>
  </si>
  <si>
    <t>Cat.5e UTP</t>
  </si>
  <si>
    <t>Cat.5e FTP</t>
  </si>
  <si>
    <t>Cat.6 UTP</t>
  </si>
  <si>
    <t>Cat.6 FTP</t>
  </si>
  <si>
    <t>Cat.6A UTP</t>
  </si>
  <si>
    <t>Cat.6A STP</t>
  </si>
  <si>
    <t>AWG26/7_4</t>
  </si>
  <si>
    <t>AWG26/7_5</t>
  </si>
  <si>
    <t>AWG26/7_6</t>
  </si>
  <si>
    <t>VDIP1815460</t>
  </si>
  <si>
    <t>CR (start)</t>
  </si>
  <si>
    <t>CR (end)</t>
  </si>
  <si>
    <t>VDIP1845460</t>
  </si>
  <si>
    <t>VDIP1816460</t>
  </si>
  <si>
    <t>VDIP1846460</t>
  </si>
  <si>
    <t>VDIP181X460</t>
  </si>
  <si>
    <t>VDIP185X460</t>
  </si>
  <si>
    <t>ACTPC6UULS</t>
  </si>
  <si>
    <t>ACTPC6FULS</t>
  </si>
  <si>
    <t>ACTPC6ASFLS</t>
  </si>
  <si>
    <t>yy (yy = color code)</t>
  </si>
  <si>
    <t>Copper size</t>
  </si>
  <si>
    <t>Type</t>
  </si>
  <si>
    <t>AWG26/7_Cat.5e UTP</t>
  </si>
  <si>
    <t>AWG26/7_Cat.5e FTP</t>
  </si>
  <si>
    <t>AWG26/7_Cat.6 UTP</t>
  </si>
  <si>
    <t>AWG26/7_Cat.6 FTP</t>
  </si>
  <si>
    <t>AWG26/7_Cat.6A UTP</t>
  </si>
  <si>
    <t>AWG26/7_Cat.6A STP</t>
  </si>
  <si>
    <t>Cable diameter</t>
  </si>
  <si>
    <t>Pathway width</t>
  </si>
  <si>
    <t>number of cable</t>
  </si>
  <si>
    <t>number of cables
(ideal world)</t>
  </si>
  <si>
    <t>number of cables
(reality)</t>
  </si>
  <si>
    <t>Reality index</t>
  </si>
  <si>
    <t>Layer 10</t>
  </si>
  <si>
    <t>Layer 9</t>
  </si>
  <si>
    <t>Layer 8</t>
  </si>
  <si>
    <t>Layer 7</t>
  </si>
  <si>
    <t>Layer 6</t>
  </si>
  <si>
    <t>Layer 5</t>
  </si>
  <si>
    <t>Layer 4</t>
  </si>
  <si>
    <t>Layer 3</t>
  </si>
  <si>
    <t>Layer 2</t>
  </si>
  <si>
    <t>Layer 1</t>
  </si>
  <si>
    <t>Number of layers</t>
  </si>
  <si>
    <t>Bundle height</t>
  </si>
  <si>
    <t>ΔT coefficient</t>
  </si>
  <si>
    <t>L/h ratio</t>
  </si>
  <si>
    <t>Max power @PD</t>
  </si>
  <si>
    <t>Vpse</t>
  </si>
  <si>
    <t>4 or 8</t>
  </si>
  <si>
    <t>Ambient temp</t>
  </si>
  <si>
    <t>Horizontal cable length</t>
  </si>
  <si>
    <t>in bundle (L1)</t>
  </si>
  <si>
    <t>@20°C (L2)</t>
  </si>
  <si>
    <r>
      <rPr>
        <sz val="11"/>
        <color theme="1"/>
        <rFont val="Symbol"/>
        <family val="1"/>
        <charset val="2"/>
      </rPr>
      <t>S</t>
    </r>
    <r>
      <rPr>
        <sz val="11"/>
        <color theme="1"/>
        <rFont val="Calibri"/>
        <family val="2"/>
        <scheme val="minor"/>
      </rPr>
      <t xml:space="preserve"> patch cord length (20°C)</t>
    </r>
  </si>
  <si>
    <t>Number of connections</t>
  </si>
  <si>
    <t>CABLE 1</t>
  </si>
  <si>
    <t>CABLE 2</t>
  </si>
  <si>
    <t>Cable ref</t>
  </si>
  <si>
    <t>Cable description</t>
  </si>
  <si>
    <t>Bundle size</t>
  </si>
  <si>
    <t>Installation environment</t>
  </si>
  <si>
    <t>For central cable :</t>
  </si>
  <si>
    <t>Δ temp</t>
  </si>
  <si>
    <t>Cable temp</t>
  </si>
  <si>
    <t>Perm. Link IL</t>
  </si>
  <si>
    <t>Average cable loss</t>
  </si>
  <si>
    <r>
      <t>Power efficiency (vs P</t>
    </r>
    <r>
      <rPr>
        <sz val="8"/>
        <color theme="1"/>
        <rFont val="Calibri"/>
        <family val="2"/>
        <scheme val="minor"/>
      </rPr>
      <t>PSE</t>
    </r>
    <r>
      <rPr>
        <sz val="11"/>
        <color theme="1"/>
        <rFont val="Calibri"/>
        <family val="2"/>
        <scheme val="minor"/>
      </rPr>
      <t>)</t>
    </r>
  </si>
  <si>
    <t>Cable factor</t>
  </si>
  <si>
    <t>Environment factor</t>
  </si>
  <si>
    <t>R(20°C)</t>
  </si>
  <si>
    <t>R(ambient)</t>
  </si>
  <si>
    <t>Rcable(ambient)</t>
  </si>
  <si>
    <t>Rpatch(20°C)</t>
  </si>
  <si>
    <t>Rcable(20°C)</t>
  </si>
  <si>
    <t>Rconnections</t>
  </si>
  <si>
    <t>Icable(ambient)</t>
  </si>
  <si>
    <r>
      <rPr>
        <b/>
        <sz val="11"/>
        <color theme="0"/>
        <rFont val="Wingdings"/>
        <charset val="2"/>
      </rPr>
      <t></t>
    </r>
    <r>
      <rPr>
        <b/>
        <sz val="11"/>
        <color theme="0"/>
        <rFont val="Calibri"/>
        <family val="2"/>
        <scheme val="minor"/>
      </rPr>
      <t xml:space="preserve"> Equipment cord (Floor Distributor side)</t>
    </r>
  </si>
  <si>
    <t>Wire gauge</t>
  </si>
  <si>
    <t>Category and construction</t>
  </si>
  <si>
    <t>Patch cord reference</t>
  </si>
  <si>
    <t>Ambient temperature</t>
  </si>
  <si>
    <t>Calculation 1</t>
  </si>
  <si>
    <t>Calculation 2</t>
  </si>
  <si>
    <t>Calculation 3</t>
  </si>
  <si>
    <t>round bundle</t>
  </si>
  <si>
    <t>in cable pathway</t>
  </si>
  <si>
    <t>bundles of 24 with separation distance</t>
  </si>
  <si>
    <t>Pathway height</t>
  </si>
  <si>
    <t>Filling rate</t>
  </si>
  <si>
    <t>EL-number</t>
  </si>
  <si>
    <r>
      <rPr>
        <b/>
        <sz val="11"/>
        <color theme="0"/>
        <rFont val="Wingdings"/>
        <charset val="2"/>
      </rPr>
      <t></t>
    </r>
    <r>
      <rPr>
        <b/>
        <sz val="11"/>
        <color theme="0"/>
        <rFont val="Calibri"/>
        <family val="2"/>
        <scheme val="minor"/>
      </rPr>
      <t xml:space="preserve">  Horizontal cable</t>
    </r>
  </si>
  <si>
    <t>CPR Euroclass</t>
  </si>
  <si>
    <t>Note: bundle of patch cords are supposed to be in ventilated envrionment</t>
  </si>
  <si>
    <r>
      <rPr>
        <b/>
        <sz val="11"/>
        <color theme="0"/>
        <rFont val="Wingdings"/>
        <charset val="2"/>
      </rPr>
      <t></t>
    </r>
    <r>
      <rPr>
        <b/>
        <sz val="11"/>
        <color theme="0"/>
        <rFont val="Calibri"/>
        <family val="2"/>
        <scheme val="minor"/>
      </rPr>
      <t xml:space="preserve">  Work area cord (End user side)</t>
    </r>
  </si>
  <si>
    <t>ROUND BUNDLE CALCULATION</t>
  </si>
  <si>
    <r>
      <t xml:space="preserve">Central equipment cord </t>
    </r>
    <r>
      <rPr>
        <sz val="11"/>
        <color theme="1"/>
        <rFont val="Calibri"/>
        <family val="2"/>
      </rPr>
      <t>Δ</t>
    </r>
    <r>
      <rPr>
        <sz val="9.9"/>
        <color theme="1"/>
        <rFont val="Calibri"/>
        <family val="2"/>
      </rPr>
      <t>T</t>
    </r>
  </si>
  <si>
    <t>Average power loss</t>
  </si>
  <si>
    <t>Average Consumption / 24h</t>
  </si>
  <si>
    <t>Worst case channel IL</t>
  </si>
  <si>
    <t>Central horizontal cable ΔT</t>
  </si>
  <si>
    <t>Ptot</t>
  </si>
  <si>
    <t>ΔTu (Ptot)</t>
  </si>
  <si>
    <t>ΔTth (Ptot)</t>
  </si>
  <si>
    <t>Cable #</t>
  </si>
  <si>
    <t>x</t>
  </si>
  <si>
    <t>y</t>
  </si>
  <si>
    <t>L</t>
  </si>
  <si>
    <t>Pcable(ambient)</t>
  </si>
  <si>
    <t>Tcable</t>
  </si>
  <si>
    <t>CABLING DETAILS</t>
  </si>
  <si>
    <t>Power @ PD</t>
  </si>
  <si>
    <t>Conductors</t>
  </si>
  <si>
    <t>POWER OVER ETHERNET</t>
  </si>
  <si>
    <t>CABLE PATHWAY</t>
  </si>
  <si>
    <t>Number of cables</t>
  </si>
  <si>
    <t>HORIZONTAL CABLE PATHWAY</t>
  </si>
  <si>
    <t>Width</t>
  </si>
  <si>
    <t>Height</t>
  </si>
  <si>
    <t>1 ROUND BUNDLE</t>
  </si>
  <si>
    <t>1 FLAT BUNDLE</t>
  </si>
  <si>
    <t>Cable pathway filling ratio</t>
  </si>
  <si>
    <t>24-cable bundle width (W)</t>
  </si>
  <si>
    <t>Average power losses</t>
  </si>
  <si>
    <t>Power efficiency (vs PPSE)</t>
  </si>
  <si>
    <t>Energy losses / 24h</t>
  </si>
  <si>
    <t>Equipment cord max T (ΔT)</t>
  </si>
  <si>
    <t>Horizontal cable max T (ΔT)</t>
  </si>
  <si>
    <t>AWG28/7</t>
  </si>
  <si>
    <t>AWG28/7_1</t>
  </si>
  <si>
    <t>AWG28/7_2</t>
  </si>
  <si>
    <t>AWG28/7_3</t>
  </si>
  <si>
    <t>Bundle size (24 max)</t>
  </si>
  <si>
    <t>Number of cables (199 max)</t>
  </si>
  <si>
    <r>
      <rPr>
        <u/>
        <sz val="11"/>
        <color theme="1"/>
        <rFont val="Calibri"/>
        <family val="2"/>
        <scheme val="minor"/>
      </rPr>
      <t>LICENSING END USER LICENSE AGREEMENT</t>
    </r>
    <r>
      <rPr>
        <sz val="11"/>
        <color theme="1"/>
        <rFont val="Calibri"/>
        <family val="2"/>
        <scheme val="minor"/>
      </rPr>
      <t xml:space="preserve">
(the “EULA”)
The purpose of this Excel file is to roughly evaluate Schneider Electric cable bundle temperature under PoE load.
This Calculation File uses a mathematical model described in ISO/IEC TS 29125 and ISO/IEC 14763-2.
Whatever the results this file could lead to, we, Schneider Electric, always recommend to respect and apply rules defined by the relevant standards.
LIABILITIES
You, as the User, expressly acknowledges and accept that Your use of the Calculation File and the performance, fitness and/or accuracy of the Calculation File for any application, environment or purpose within or for which You shall use the Calculation File, is and shall remain Your sole and full responsibility.
To the maximum extent permitted by applicable law, the Calculation File is provided “as it is”, with all faults and without warranty.
IN NO EVENT SHALL SCHNEIDER ELECTRIC OR ANYONE ELSE BE LIABLE FOR ANY DAMAGE, LOSS OR EXPENSE.
The license granted under this EULA does not cover any modification.</t>
    </r>
  </si>
  <si>
    <t>FD cord</t>
  </si>
  <si>
    <t>Cable</t>
  </si>
  <si>
    <t>EU cord</t>
  </si>
  <si>
    <t>Reference</t>
  </si>
  <si>
    <r>
      <t>Cable factor (</t>
    </r>
    <r>
      <rPr>
        <sz val="11"/>
        <color theme="1"/>
        <rFont val="Calibri"/>
        <family val="2"/>
      </rPr>
      <t>ρth)</t>
    </r>
  </si>
  <si>
    <r>
      <t>Environment factor (</t>
    </r>
    <r>
      <rPr>
        <sz val="11"/>
        <color theme="1"/>
        <rFont val="Calibri"/>
        <family val="2"/>
      </rPr>
      <t>ρu)</t>
    </r>
  </si>
  <si>
    <t>AWG28/7_Cat.6 UTP</t>
  </si>
  <si>
    <t>AWG28/7_Cat.6 FTP</t>
  </si>
  <si>
    <t>AWG28/7_Cat.6A STP</t>
  </si>
  <si>
    <t>EU Cord</t>
  </si>
  <si>
    <t>FD cord #</t>
  </si>
  <si>
    <t>Rcable</t>
  </si>
  <si>
    <t>Icable</t>
  </si>
  <si>
    <t>Pcable</t>
  </si>
  <si>
    <t>Rcable avg</t>
  </si>
  <si>
    <t>R</t>
  </si>
  <si>
    <t>ΔTmax</t>
  </si>
  <si>
    <t>Tmax</t>
  </si>
  <si>
    <t>116118GHD</t>
  </si>
  <si>
    <t>Display</t>
  </si>
  <si>
    <t>IL ratio</t>
  </si>
  <si>
    <t>Equivalent length</t>
  </si>
  <si>
    <t>Total</t>
  </si>
  <si>
    <t>Channel IL</t>
  </si>
  <si>
    <t>Permanent Link IL</t>
  </si>
  <si>
    <t>Avg power losses</t>
  </si>
  <si>
    <t>Cell</t>
  </si>
  <si>
    <t>c8</t>
  </si>
  <si>
    <t>c12</t>
  </si>
  <si>
    <t>c13</t>
  </si>
  <si>
    <t>SETTINGS</t>
  </si>
  <si>
    <t>c21</t>
  </si>
  <si>
    <t>Worst case Perm. Link IL</t>
  </si>
  <si>
    <t>Layer 20</t>
  </si>
  <si>
    <t>Layer 19</t>
  </si>
  <si>
    <t>Layer 18</t>
  </si>
  <si>
    <t>Layer 17</t>
  </si>
  <si>
    <t>Layer 16</t>
  </si>
  <si>
    <t>Layer 15</t>
  </si>
  <si>
    <t>Layer 14</t>
  </si>
  <si>
    <t>Layer 13</t>
  </si>
  <si>
    <t>Layer 12</t>
  </si>
  <si>
    <t>Layer 11</t>
  </si>
  <si>
    <t>c24</t>
  </si>
  <si>
    <t>c25</t>
  </si>
  <si>
    <t>c26</t>
  </si>
  <si>
    <t>Ambient temperature shall be between 20 and 60°C</t>
  </si>
  <si>
    <t>c32</t>
  </si>
  <si>
    <t>c36</t>
  </si>
  <si>
    <t>Bundle size shall be between 1 and 24</t>
  </si>
  <si>
    <t>Bundle size shall be between 1 and 199</t>
  </si>
  <si>
    <t>1- Equipment cord settings</t>
  </si>
  <si>
    <t>2- Horizontal cable settings</t>
  </si>
  <si>
    <t>3- Work area cord settings</t>
  </si>
  <si>
    <t>a- Wire gauge</t>
  </si>
  <si>
    <t>b- Category and construction</t>
  </si>
  <si>
    <t>c- Length</t>
  </si>
  <si>
    <t>d- Category</t>
  </si>
  <si>
    <t>e- Construction</t>
  </si>
  <si>
    <t>f- CPR Euroclass</t>
  </si>
  <si>
    <t>g- Wire gauge</t>
  </si>
  <si>
    <t>h- Category and construction</t>
  </si>
  <si>
    <t>i- Length</t>
  </si>
  <si>
    <t>Selection does not exist, change items a, b and c</t>
  </si>
  <si>
    <t>Selection does not exist, change items d, e and f</t>
  </si>
  <si>
    <t>Selection does not exist, change items g, h and i</t>
  </si>
  <si>
    <t>Horizontal cable pathway</t>
  </si>
  <si>
    <t>F9</t>
  </si>
  <si>
    <t>F10</t>
  </si>
  <si>
    <t>Length shall be between 10 and 90 m</t>
  </si>
  <si>
    <t>Height shall be between 50 and 200 mm</t>
  </si>
  <si>
    <t>Width shall be between 50 and 1000 mm</t>
  </si>
  <si>
    <t>Power over Ethernet</t>
  </si>
  <si>
    <t>N4</t>
  </si>
  <si>
    <t>N6</t>
  </si>
  <si>
    <t>Power @ PD shall be smaller than 71.3W</t>
  </si>
  <si>
    <t>Nb of conductors shall be 8</t>
  </si>
  <si>
    <t>Nombre de cables</t>
  </si>
  <si>
    <t>Ratio (C16/C15)</t>
  </si>
  <si>
    <t>VDICC116118</t>
  </si>
  <si>
    <t>Equipment cord (Floor Distributor side)</t>
  </si>
  <si>
    <t>Horizontal cable</t>
  </si>
  <si>
    <t>Work area cord (End user side)</t>
  </si>
  <si>
    <t>❶</t>
  </si>
  <si>
    <t>❷</t>
  </si>
  <si>
    <t>❸</t>
  </si>
  <si>
    <t/>
  </si>
  <si>
    <t>Cat.6 U/UTP</t>
  </si>
  <si>
    <t>Maximum current per pair</t>
  </si>
  <si>
    <t>CABLE INFORMATION</t>
  </si>
  <si>
    <t>G9</t>
  </si>
  <si>
    <t>Class 1 (RP1)</t>
  </si>
  <si>
    <t>Class 2 (RP1)</t>
  </si>
  <si>
    <t>Class 3 (RP1)</t>
  </si>
  <si>
    <t>Class 4 (RP2)</t>
  </si>
  <si>
    <t>Class 5 (RP2)</t>
  </si>
  <si>
    <t>Class 6 (RP2)</t>
  </si>
  <si>
    <t>Class 7 (RP2)</t>
  </si>
  <si>
    <t>Class 8 (RP3)</t>
  </si>
  <si>
    <t>WARNING</t>
  </si>
  <si>
    <t>temperature in bundle is between 50 and 60°C</t>
  </si>
  <si>
    <t>temperature in bundle exceeds 60°C</t>
  </si>
  <si>
    <t>temperature increase in bundle is between +10 and +15°C</t>
  </si>
  <si>
    <t>temperature increase in bundle exceeds +15°C</t>
  </si>
  <si>
    <t xml:space="preserve">WARNING !
</t>
  </si>
  <si>
    <t>WARNING ROUND BUNDLE</t>
  </si>
  <si>
    <t>WARNING FLAT BUNDLE</t>
  </si>
  <si>
    <t>WARNING 24-CABLE BUNDLE</t>
  </si>
  <si>
    <t>Separation distance (S)</t>
  </si>
  <si>
    <t>Max nb of layers</t>
  </si>
  <si>
    <t>Max nb of cables</t>
  </si>
  <si>
    <t>Filling ratio</t>
  </si>
  <si>
    <t>Even layer</t>
  </si>
  <si>
    <t>Odd layer</t>
  </si>
  <si>
    <t>Rounded up</t>
  </si>
  <si>
    <t>Bundle width</t>
  </si>
  <si>
    <t>Bundle w/h ratio</t>
  </si>
  <si>
    <t>5.5 D</t>
  </si>
  <si>
    <t>4.33 D</t>
  </si>
  <si>
    <t>2 bundles</t>
  </si>
  <si>
    <t>1 bundle</t>
  </si>
  <si>
    <t>10.5 D</t>
  </si>
  <si>
    <t>3 bundles</t>
  </si>
  <si>
    <t>Width / height ratio</t>
  </si>
  <si>
    <t>Layers</t>
  </si>
  <si>
    <t>Cable max ΔT</t>
  </si>
  <si>
    <t>Cat.6 U/UTP cable, 30°C ambient temperature</t>
  </si>
  <si>
    <t>Cat.6A CL-MX cable, 30°C ambient temperature</t>
  </si>
  <si>
    <t>Cat.6 F/UTP cable, 30°C ambient temperature</t>
  </si>
  <si>
    <t>Cat.6 U/UTP cable, 30°C ambient temperature, ventilated</t>
  </si>
  <si>
    <t>Cat.6 F/UTP cable, 30°C ambient temperature, ventilated</t>
  </si>
  <si>
    <t>Cat.6 U/UTP cable, 30°C ambient temperature, open metal tray</t>
  </si>
  <si>
    <t>Cat.6 F/UTP cable, 30°C ambient temperature, open metal tray</t>
  </si>
  <si>
    <t>Cat.6A U/UTP cable, 30°C ambient temperature, open metal tray</t>
  </si>
  <si>
    <t>Cat.6A XTP cable, 30°C ambient temperature, open metal tray</t>
  </si>
  <si>
    <t>Cat.6A U/UTP cable, 30°C ambient temperature, ventilated</t>
  </si>
  <si>
    <t>Cat.6A XTP cable, 30°C ambient temperature, ventilated</t>
  </si>
  <si>
    <t>25°C</t>
  </si>
  <si>
    <t>Remote powering</t>
  </si>
  <si>
    <t>1A per pair</t>
  </si>
  <si>
    <t>Cable ref.</t>
  </si>
  <si>
    <t>Nb of cables</t>
  </si>
  <si>
    <t>Horizontal pathway</t>
  </si>
  <si>
    <t>Ventilated</t>
  </si>
  <si>
    <t>ΔT round</t>
  </si>
  <si>
    <t>ΔT flat</t>
  </si>
  <si>
    <t>(width)</t>
  </si>
  <si>
    <t>15.5 D</t>
  </si>
  <si>
    <t>20.5 D</t>
  </si>
  <si>
    <t>25.5 D</t>
  </si>
  <si>
    <t>30.5 D</t>
  </si>
  <si>
    <t>35.5 D</t>
  </si>
  <si>
    <t>40.5 D</t>
  </si>
  <si>
    <t>1 x 24</t>
  </si>
  <si>
    <t>2 x 24</t>
  </si>
  <si>
    <t>(2+1) x 24</t>
  </si>
  <si>
    <t>3 x 24</t>
  </si>
  <si>
    <t>(3 + 1) x 24</t>
  </si>
  <si>
    <t>4 x 24</t>
  </si>
  <si>
    <t>5 x 24</t>
  </si>
  <si>
    <t>(3+2) x 24</t>
  </si>
  <si>
    <t>(4+2) x 24</t>
  </si>
  <si>
    <t>(5+1) x 24</t>
  </si>
  <si>
    <t>6 x 24</t>
  </si>
  <si>
    <t>(4+3) x 24</t>
  </si>
  <si>
    <t>(5+2) x 24</t>
  </si>
  <si>
    <t>(6+1) x 24</t>
  </si>
  <si>
    <t>7 x 24</t>
  </si>
  <si>
    <t>(5+3) x 24</t>
  </si>
  <si>
    <t>(6+2) x 24</t>
  </si>
  <si>
    <t>(7+1) x 24</t>
  </si>
  <si>
    <t>8 x 24</t>
  </si>
  <si>
    <t>Open metal tray</t>
  </si>
  <si>
    <t>Closed pathway / with insulation</t>
  </si>
  <si>
    <t>(closed pathway)</t>
  </si>
  <si>
    <t>(with insulation)</t>
  </si>
  <si>
    <t>1-layer 24-bundles</t>
  </si>
  <si>
    <t>2-layer 24-bundles</t>
  </si>
  <si>
    <t>8+ (ΔT&lt;10)</t>
  </si>
  <si>
    <t>6 (ΔT&lt;10)</t>
  </si>
  <si>
    <t>7 (ΔT&lt;10)</t>
  </si>
  <si>
    <t>8 (ΔT&lt;11)</t>
  </si>
  <si>
    <t>6 (ΔT&lt;11)</t>
  </si>
  <si>
    <t>3 (ΔT&lt;11)</t>
  </si>
  <si>
    <t>4 (ΔT&lt;11)</t>
  </si>
  <si>
    <t>2 (ΔT&lt;11)</t>
  </si>
  <si>
    <t>7 (ΔT&lt;11)</t>
  </si>
  <si>
    <t>5 (ΔT&lt;10)</t>
  </si>
  <si>
    <t>4 (ΔT&lt;10)</t>
  </si>
  <si>
    <t>5 (ΔT&lt;11)</t>
  </si>
  <si>
    <t>3 (ΔT&lt;10)</t>
  </si>
  <si>
    <t>No (ΔT&lt;10)</t>
  </si>
  <si>
    <t>No (ΔT&lt;11)</t>
  </si>
  <si>
    <t>1 (ΔT&lt;10)</t>
  </si>
  <si>
    <t>24-cable bundle (ΔT&lt;11)</t>
  </si>
  <si>
    <t>6-cable bundle (ΔT&lt;11)</t>
  </si>
  <si>
    <t>5-cable bundle (ΔT&lt;10)</t>
  </si>
  <si>
    <t>10-cable bundle (ΔT&lt;10)</t>
  </si>
  <si>
    <t>12-cable bundle (ΔT&lt;11)</t>
  </si>
  <si>
    <t>10-cable bundle (ΔT&lt;11)</t>
  </si>
  <si>
    <t>8-cable bundle (ΔT&lt;10)</t>
  </si>
  <si>
    <t>17-cable bundle (ΔT&lt;10)</t>
  </si>
  <si>
    <t>20-cable bundle (ΔT&lt;11)</t>
  </si>
  <si>
    <t>20-cable bundle (ΔT&lt;10)</t>
  </si>
  <si>
    <t>11-cable bundle (ΔT&lt;10)</t>
  </si>
  <si>
    <t>13-cable bundle (ΔT&lt;11)</t>
  </si>
  <si>
    <t>Cable references</t>
  </si>
  <si>
    <t>Closed pathway</t>
  </si>
  <si>
    <t>Maximum length
2-pt Perm. Link</t>
  </si>
  <si>
    <t>-</t>
  </si>
  <si>
    <t>D</t>
  </si>
  <si>
    <t>(Schneider Electric model)</t>
  </si>
  <si>
    <t>PoE calculator v. 230721</t>
  </si>
  <si>
    <r>
      <t xml:space="preserve">RP3 </t>
    </r>
    <r>
      <rPr>
        <b/>
        <sz val="24"/>
        <color rgb="FF009530"/>
        <rFont val="Wingdings"/>
        <charset val="2"/>
      </rPr>
      <t>ü</t>
    </r>
  </si>
  <si>
    <t xml:space="preserve"> (legacy range)</t>
  </si>
  <si>
    <t>Power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</si>
</sst>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64" formatCode="General&quot; mm&quot;"/>
    <numFmt numFmtId="165" formatCode="General&quot; MJ/km&quot;"/>
    <numFmt numFmtId="166" formatCode="General&quot; kg/km&quot;"/>
    <numFmt numFmtId="167" formatCode="0.0&quot; Ω/km&quot;"/>
    <numFmt numFmtId="168" formatCode="0.0&quot; % / °C&quot;"/>
    <numFmt numFmtId="169" formatCode="General&quot; cables&quot;"/>
    <numFmt numFmtId="170" formatCode="General&quot; m&quot;"/>
    <numFmt numFmtId="171" formatCode="0.00&quot; layers&quot;"/>
    <numFmt numFmtId="172" formatCode="0.00&quot; mm&quot;"/>
    <numFmt numFmtId="173" formatCode="0.000"/>
    <numFmt numFmtId="174" formatCode="0.0&quot; W&quot;"/>
    <numFmt numFmtId="175" formatCode="&quot;→ Class &quot;General"/>
    <numFmt numFmtId="176" formatCode="0.0&quot; V&quot;"/>
    <numFmt numFmtId="177" formatCode="&quot;Class &quot;General"/>
    <numFmt numFmtId="178" formatCode="0.00&quot; W&quot;"/>
    <numFmt numFmtId="179" formatCode="General&quot;°C&quot;"/>
    <numFmt numFmtId="180" formatCode="0.0&quot; °C&quot;"/>
    <numFmt numFmtId="181" formatCode="0.0&quot;°C&quot;"/>
    <numFmt numFmtId="182" formatCode="0.0000000000000"/>
    <numFmt numFmtId="183" formatCode="0.0%"/>
    <numFmt numFmtId="184" formatCode="0.0&quot; Ω&quot;"/>
    <numFmt numFmtId="185" formatCode="0.00&quot; Ω&quot;"/>
    <numFmt numFmtId="186" formatCode="0.00&quot; A&quot;"/>
    <numFmt numFmtId="187" formatCode="&quot;+&quot;0.0&quot;°C&quot;"/>
    <numFmt numFmtId="188" formatCode="General\°\C"/>
    <numFmt numFmtId="189" formatCode="0.00&quot; Ω&quot;"/>
    <numFmt numFmtId="190" formatCode="General&quot; °C&quot;"/>
    <numFmt numFmtId="191" formatCode="0.0&quot; %/°C&quot;"/>
    <numFmt numFmtId="192" formatCode="0.00&quot; m&quot;"/>
    <numFmt numFmtId="193" formatCode="0.0&quot; W.h&quot;"/>
    <numFmt numFmtId="194" formatCode="0.0&quot; kg/km&quot;"/>
    <numFmt numFmtId="195" formatCode="General&quot; layers&quot;"/>
  </numFmts>
  <fonts count="34">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8"/>
      <name val="Calibri"/>
      <family val="2"/>
      <scheme val="minor"/>
    </font>
    <font>
      <sz val="11"/>
      <color theme="1"/>
      <name val="Calibri"/>
      <family val="2"/>
    </font>
    <font>
      <b/>
      <sz val="9"/>
      <color indexed="81"/>
      <name val="Tahoma"/>
      <family val="2"/>
    </font>
    <font>
      <sz val="9"/>
      <color indexed="81"/>
      <name val="Tahoma"/>
      <family val="2"/>
    </font>
    <font>
      <sz val="8"/>
      <name val="Calibri"/>
      <family val="2"/>
      <scheme val="minor"/>
    </font>
    <font>
      <vertAlign val="subscript"/>
      <sz val="11"/>
      <color theme="1"/>
      <name val="Calibri"/>
      <family val="2"/>
      <scheme val="minor"/>
    </font>
    <font>
      <sz val="11"/>
      <color theme="2" tint="-0.499984740745262"/>
      <name val="Calibri"/>
      <family val="2"/>
      <scheme val="minor"/>
    </font>
    <font>
      <sz val="8"/>
      <color theme="1"/>
      <name val="Calibri"/>
      <family val="2"/>
      <scheme val="minor"/>
    </font>
    <font>
      <sz val="6"/>
      <color theme="1"/>
      <name val="Calibri"/>
      <family val="2"/>
      <scheme val="minor"/>
    </font>
    <font>
      <sz val="11"/>
      <color theme="1"/>
      <name val="Calibri"/>
      <family val="1"/>
      <charset val="2"/>
      <scheme val="minor"/>
    </font>
    <font>
      <sz val="11"/>
      <color theme="1"/>
      <name val="Symbol"/>
      <family val="1"/>
      <charset val="2"/>
    </font>
    <font>
      <b/>
      <sz val="11"/>
      <name val="Calibri"/>
      <family val="2"/>
      <scheme val="minor"/>
    </font>
    <font>
      <b/>
      <sz val="11"/>
      <color theme="0"/>
      <name val="Calibri"/>
      <family val="2"/>
      <charset val="2"/>
      <scheme val="minor"/>
    </font>
    <font>
      <b/>
      <sz val="11"/>
      <color theme="0"/>
      <name val="Wingdings"/>
      <charset val="2"/>
    </font>
    <font>
      <sz val="9.9"/>
      <color theme="1"/>
      <name val="Calibri"/>
      <family val="2"/>
    </font>
    <font>
      <b/>
      <sz val="11"/>
      <name val="Calibri"/>
      <family val="2"/>
      <charset val="2"/>
      <scheme val="minor"/>
    </font>
    <font>
      <u/>
      <sz val="11"/>
      <color theme="1"/>
      <name val="Calibri"/>
      <family val="2"/>
      <scheme val="minor"/>
    </font>
    <font>
      <sz val="10"/>
      <color theme="1"/>
      <name val="Calibri"/>
      <family val="2"/>
      <scheme val="minor"/>
    </font>
    <font>
      <sz val="8"/>
      <color rgb="FF000000"/>
      <name val="Segoe UI"/>
      <family val="2"/>
    </font>
    <font>
      <b/>
      <sz val="12"/>
      <color rgb="FFC00000"/>
      <name val="Calibri"/>
      <family val="2"/>
    </font>
    <font>
      <b/>
      <sz val="12"/>
      <color rgb="FFFFC000"/>
      <name val="Calibri"/>
      <family val="2"/>
    </font>
    <font>
      <b/>
      <sz val="12"/>
      <color rgb="FF92D050"/>
      <name val="Calibri"/>
      <family val="2"/>
    </font>
    <font>
      <sz val="11"/>
      <color theme="0"/>
      <name val="Calibri"/>
      <family val="2"/>
      <scheme val="minor"/>
    </font>
    <font>
      <sz val="9"/>
      <color theme="1"/>
      <name val="Calibri"/>
      <family val="2"/>
      <scheme val="minor"/>
    </font>
    <font>
      <sz val="9"/>
      <color rgb="FFFF0000"/>
      <name val="Calibri"/>
      <family val="2"/>
      <scheme val="minor"/>
    </font>
    <font>
      <sz val="10"/>
      <color rgb="FFFF0000"/>
      <name val="Calibri"/>
      <family val="2"/>
      <scheme val="minor"/>
    </font>
    <font>
      <sz val="12"/>
      <color theme="1"/>
      <name val="Calibri"/>
      <family val="2"/>
      <scheme val="minor"/>
    </font>
    <font>
      <b/>
      <sz val="24"/>
      <color rgb="FF009530"/>
      <name val="Calibri"/>
      <family val="2"/>
      <scheme val="minor"/>
    </font>
    <font>
      <b/>
      <sz val="24"/>
      <color rgb="FF009530"/>
      <name val="Wingdings"/>
      <charset val="2"/>
    </font>
    <font>
      <sz val="11"/>
      <color rgb="FF009530"/>
      <name val="Calibri"/>
      <family val="2"/>
      <scheme val="minor"/>
    </font>
  </fonts>
  <fills count="13">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0000"/>
        <bgColor indexed="64"/>
      </patternFill>
    </fill>
    <fill>
      <patternFill patternType="solid">
        <fgColor theme="9" tint="0.59999389629810485"/>
        <bgColor indexed="64"/>
      </patternFill>
    </fill>
    <fill>
      <patternFill patternType="solid">
        <fgColor theme="7"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35">
    <xf numFmtId="0" fontId="0" fillId="0" borderId="0" xfId="0"/>
    <xf numFmtId="0" fontId="0" fillId="0" borderId="0" xfId="0" applyAlignment="1">
      <alignment horizontal="center" textRotation="90" wrapText="1"/>
    </xf>
    <xf numFmtId="164" fontId="0" fillId="0" borderId="0" xfId="0" applyNumberFormat="1"/>
    <xf numFmtId="166" fontId="0" fillId="0" borderId="0" xfId="0" applyNumberFormat="1"/>
    <xf numFmtId="167" fontId="0" fillId="0" borderId="0" xfId="0" applyNumberFormat="1"/>
    <xf numFmtId="168" fontId="0" fillId="0" borderId="0" xfId="0" applyNumberFormat="1"/>
    <xf numFmtId="0" fontId="0" fillId="2" borderId="0" xfId="0" applyFill="1"/>
    <xf numFmtId="164" fontId="0" fillId="3" borderId="0" xfId="0" applyNumberFormat="1" applyFill="1"/>
    <xf numFmtId="0" fontId="0" fillId="3" borderId="0" xfId="0" applyFill="1"/>
    <xf numFmtId="165" fontId="0" fillId="3" borderId="0" xfId="0" applyNumberFormat="1" applyFill="1"/>
    <xf numFmtId="166" fontId="0" fillId="3" borderId="0" xfId="0" applyNumberFormat="1" applyFill="1"/>
    <xf numFmtId="0" fontId="0" fillId="0" borderId="0" xfId="0" applyAlignment="1">
      <alignment vertical="center"/>
    </xf>
    <xf numFmtId="164" fontId="0" fillId="4" borderId="0" xfId="0" applyNumberFormat="1" applyFill="1"/>
    <xf numFmtId="0" fontId="0" fillId="4" borderId="0" xfId="0" applyFill="1"/>
    <xf numFmtId="164" fontId="4" fillId="4" borderId="0" xfId="0" applyNumberFormat="1" applyFont="1" applyFill="1"/>
    <xf numFmtId="165" fontId="0" fillId="4" borderId="0" xfId="0" applyNumberFormat="1" applyFill="1"/>
    <xf numFmtId="166" fontId="0" fillId="4" borderId="0" xfId="0" applyNumberFormat="1" applyFill="1"/>
    <xf numFmtId="164" fontId="3" fillId="3" borderId="0" xfId="0" applyNumberFormat="1" applyFont="1" applyFill="1"/>
    <xf numFmtId="164" fontId="4" fillId="3" borderId="0" xfId="0" applyNumberFormat="1" applyFont="1" applyFill="1"/>
    <xf numFmtId="166" fontId="3" fillId="3" borderId="0" xfId="0" applyNumberFormat="1" applyFont="1" applyFill="1"/>
    <xf numFmtId="0" fontId="5" fillId="0" borderId="0" xfId="0" applyFont="1"/>
    <xf numFmtId="0" fontId="3" fillId="0" borderId="0" xfId="0" applyFont="1"/>
    <xf numFmtId="0" fontId="0" fillId="0" borderId="0" xfId="0" applyAlignment="1">
      <alignment horizontal="right"/>
    </xf>
    <xf numFmtId="170" fontId="0" fillId="0" borderId="0" xfId="0" applyNumberFormat="1"/>
    <xf numFmtId="0" fontId="0" fillId="0" borderId="0" xfId="0" quotePrefix="1"/>
    <xf numFmtId="0" fontId="0" fillId="0" borderId="0" xfId="0" applyAlignment="1">
      <alignment wrapText="1"/>
    </xf>
    <xf numFmtId="9" fontId="0" fillId="0" borderId="0" xfId="0" applyNumberFormat="1"/>
    <xf numFmtId="169" fontId="0" fillId="0" borderId="0" xfId="0" applyNumberFormat="1"/>
    <xf numFmtId="171" fontId="0" fillId="0" borderId="0" xfId="0" applyNumberFormat="1"/>
    <xf numFmtId="172" fontId="0" fillId="0" borderId="0" xfId="0" applyNumberFormat="1"/>
    <xf numFmtId="2" fontId="0" fillId="0" borderId="0" xfId="0" applyNumberFormat="1"/>
    <xf numFmtId="173" fontId="0" fillId="0" borderId="0" xfId="0" applyNumberFormat="1"/>
    <xf numFmtId="0" fontId="10" fillId="0" borderId="0" xfId="0" applyFont="1"/>
    <xf numFmtId="0" fontId="0" fillId="5" borderId="0" xfId="0" applyFill="1" applyAlignment="1" applyProtection="1">
      <alignment vertical="center"/>
      <protection hidden="1"/>
    </xf>
    <xf numFmtId="0" fontId="0" fillId="5" borderId="1" xfId="0" applyFill="1" applyBorder="1" applyAlignment="1" applyProtection="1">
      <alignment vertical="center"/>
      <protection hidden="1"/>
    </xf>
    <xf numFmtId="174" fontId="0" fillId="6" borderId="1" xfId="0" applyNumberFormat="1" applyFill="1" applyBorder="1" applyAlignment="1" applyProtection="1">
      <alignment vertical="center"/>
      <protection locked="0"/>
    </xf>
    <xf numFmtId="175" fontId="0" fillId="5" borderId="0" xfId="0" applyNumberFormat="1" applyFill="1" applyAlignment="1" applyProtection="1">
      <alignment horizontal="left" vertical="center" indent="1"/>
      <protection hidden="1"/>
    </xf>
    <xf numFmtId="0" fontId="11" fillId="5" borderId="0" xfId="0" applyFont="1" applyFill="1" applyAlignment="1" applyProtection="1">
      <alignment vertical="center"/>
      <protection hidden="1"/>
    </xf>
    <xf numFmtId="0" fontId="0" fillId="0" borderId="0" xfId="0" applyAlignment="1" applyProtection="1">
      <alignment vertical="center"/>
      <protection hidden="1"/>
    </xf>
    <xf numFmtId="176" fontId="0" fillId="0" borderId="1" xfId="0" applyNumberFormat="1" applyBorder="1" applyAlignment="1" applyProtection="1">
      <alignment vertical="center"/>
      <protection hidden="1"/>
    </xf>
    <xf numFmtId="177" fontId="0" fillId="0" borderId="1" xfId="0" applyNumberFormat="1" applyBorder="1" applyAlignment="1" applyProtection="1">
      <alignment horizontal="center" vertical="center"/>
      <protection hidden="1"/>
    </xf>
    <xf numFmtId="178" fontId="0" fillId="0" borderId="1" xfId="0" applyNumberForma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12" fillId="5" borderId="0" xfId="0" applyFont="1" applyFill="1" applyAlignment="1" applyProtection="1">
      <alignment horizontal="center" vertical="center"/>
      <protection hidden="1"/>
    </xf>
    <xf numFmtId="0" fontId="12" fillId="5" borderId="0" xfId="0" applyFont="1" applyFill="1" applyAlignment="1" applyProtection="1">
      <alignment vertical="center"/>
      <protection hidden="1"/>
    </xf>
    <xf numFmtId="0" fontId="11" fillId="5" borderId="0" xfId="0" applyFont="1" applyFill="1" applyAlignment="1" applyProtection="1">
      <alignment horizontal="center" vertical="center"/>
      <protection hidden="1"/>
    </xf>
    <xf numFmtId="0" fontId="0" fillId="6" borderId="1" xfId="0" applyFill="1" applyBorder="1" applyAlignment="1" applyProtection="1">
      <alignment vertical="center"/>
      <protection locked="0"/>
    </xf>
    <xf numFmtId="0" fontId="5" fillId="5" borderId="0" xfId="0" applyFont="1" applyFill="1" applyAlignment="1" applyProtection="1">
      <alignment vertical="center"/>
      <protection hidden="1"/>
    </xf>
    <xf numFmtId="177" fontId="0" fillId="8" borderId="1" xfId="0" applyNumberFormat="1" applyFill="1" applyBorder="1" applyAlignment="1" applyProtection="1">
      <alignment horizontal="center" vertical="center"/>
      <protection hidden="1"/>
    </xf>
    <xf numFmtId="178" fontId="0" fillId="8" borderId="1" xfId="0" applyNumberFormat="1" applyFill="1" applyBorder="1" applyAlignment="1" applyProtection="1">
      <alignment horizontal="center" vertical="center"/>
      <protection hidden="1"/>
    </xf>
    <xf numFmtId="0" fontId="0" fillId="8" borderId="1" xfId="0" applyFill="1" applyBorder="1" applyAlignment="1" applyProtection="1">
      <alignment horizontal="center" vertical="center"/>
      <protection hidden="1"/>
    </xf>
    <xf numFmtId="179" fontId="0" fillId="6" borderId="1" xfId="0" applyNumberFormat="1" applyFill="1" applyBorder="1" applyAlignment="1" applyProtection="1">
      <alignment vertical="center"/>
      <protection locked="0"/>
    </xf>
    <xf numFmtId="0" fontId="0" fillId="5" borderId="0" xfId="0" applyFill="1" applyAlignment="1" applyProtection="1">
      <alignment horizontal="left" vertical="center" indent="1"/>
      <protection hidden="1"/>
    </xf>
    <xf numFmtId="174" fontId="0" fillId="8" borderId="1" xfId="0" applyNumberFormat="1" applyFill="1" applyBorder="1" applyAlignment="1" applyProtection="1">
      <alignment horizontal="center" vertical="center"/>
      <protection hidden="1"/>
    </xf>
    <xf numFmtId="174" fontId="0" fillId="0" borderId="1" xfId="0" applyNumberFormat="1" applyBorder="1" applyAlignment="1" applyProtection="1">
      <alignment horizontal="center" vertical="center"/>
      <protection hidden="1"/>
    </xf>
    <xf numFmtId="0" fontId="0" fillId="5" borderId="2" xfId="0" applyFill="1" applyBorder="1" applyAlignment="1" applyProtection="1">
      <alignment vertical="center"/>
      <protection hidden="1"/>
    </xf>
    <xf numFmtId="0" fontId="0" fillId="0" borderId="3" xfId="0" applyBorder="1" applyAlignment="1" applyProtection="1">
      <alignment vertical="center"/>
      <protection hidden="1"/>
    </xf>
    <xf numFmtId="0" fontId="0" fillId="5" borderId="4" xfId="0" applyFill="1" applyBorder="1" applyAlignment="1" applyProtection="1">
      <alignment horizontal="left" vertical="center" indent="2"/>
      <protection hidden="1"/>
    </xf>
    <xf numFmtId="170" fontId="0" fillId="6" borderId="5" xfId="0" applyNumberFormat="1" applyFill="1" applyBorder="1" applyAlignment="1" applyProtection="1">
      <alignment vertical="center"/>
      <protection locked="0"/>
    </xf>
    <xf numFmtId="0" fontId="0" fillId="5" borderId="6" xfId="0" quotePrefix="1" applyFill="1" applyBorder="1" applyAlignment="1" applyProtection="1">
      <alignment horizontal="left" vertical="center" indent="2"/>
      <protection hidden="1"/>
    </xf>
    <xf numFmtId="170" fontId="0" fillId="6" borderId="7" xfId="0" applyNumberFormat="1" applyFill="1" applyBorder="1" applyAlignment="1" applyProtection="1">
      <alignment vertical="center"/>
      <protection locked="0"/>
    </xf>
    <xf numFmtId="0" fontId="13" fillId="5" borderId="7" xfId="0" applyFont="1" applyFill="1" applyBorder="1" applyAlignment="1" applyProtection="1">
      <alignment vertical="center"/>
      <protection hidden="1"/>
    </xf>
    <xf numFmtId="0" fontId="0" fillId="6" borderId="7" xfId="0" applyFill="1" applyBorder="1" applyAlignment="1" applyProtection="1">
      <alignment vertical="center"/>
      <protection locked="0"/>
    </xf>
    <xf numFmtId="0" fontId="2" fillId="7" borderId="1" xfId="0" applyFont="1" applyFill="1" applyBorder="1" applyAlignment="1" applyProtection="1">
      <alignment horizontal="center" vertical="center" wrapText="1"/>
      <protection hidden="1"/>
    </xf>
    <xf numFmtId="0" fontId="0" fillId="6" borderId="8" xfId="0" applyFill="1" applyBorder="1" applyAlignment="1" applyProtection="1">
      <alignment vertical="center"/>
      <protection locked="0"/>
    </xf>
    <xf numFmtId="0" fontId="0" fillId="0" borderId="1" xfId="0" applyBorder="1" applyAlignment="1" applyProtection="1">
      <alignment vertical="center"/>
      <protection hidden="1"/>
    </xf>
    <xf numFmtId="0" fontId="0" fillId="0" borderId="0" xfId="0" applyAlignment="1">
      <alignment horizontal="center" vertical="center"/>
    </xf>
    <xf numFmtId="0" fontId="0" fillId="0" borderId="0" xfId="0" applyAlignment="1">
      <alignment horizontal="center" vertical="center"/>
    </xf>
    <xf numFmtId="180" fontId="15" fillId="5" borderId="0" xfId="0" applyNumberFormat="1" applyFont="1" applyFill="1" applyAlignment="1" applyProtection="1">
      <alignment vertical="center"/>
      <protection hidden="1"/>
    </xf>
    <xf numFmtId="169" fontId="0" fillId="6" borderId="8" xfId="0" applyNumberFormat="1" applyFill="1" applyBorder="1" applyAlignment="1" applyProtection="1">
      <alignment vertical="center"/>
      <protection locked="0"/>
    </xf>
    <xf numFmtId="169" fontId="0" fillId="6" borderId="1" xfId="0" applyNumberFormat="1" applyFill="1" applyBorder="1" applyAlignment="1" applyProtection="1">
      <alignment vertical="center"/>
      <protection locked="0"/>
    </xf>
    <xf numFmtId="181" fontId="11" fillId="5" borderId="0" xfId="0" applyNumberFormat="1" applyFont="1" applyFill="1" applyAlignment="1" applyProtection="1">
      <alignment vertical="center"/>
      <protection hidden="1"/>
    </xf>
    <xf numFmtId="182" fontId="11" fillId="5" borderId="0" xfId="0" applyNumberFormat="1" applyFont="1" applyFill="1" applyAlignment="1" applyProtection="1">
      <alignment vertical="center"/>
      <protection hidden="1"/>
    </xf>
    <xf numFmtId="0" fontId="0" fillId="5" borderId="1" xfId="0" applyFill="1" applyBorder="1" applyAlignment="1" applyProtection="1">
      <alignment vertical="center"/>
      <protection hidden="1"/>
    </xf>
    <xf numFmtId="0" fontId="0" fillId="5" borderId="3" xfId="0" applyFill="1" applyBorder="1" applyAlignment="1" applyProtection="1">
      <alignment vertical="center"/>
      <protection hidden="1"/>
    </xf>
    <xf numFmtId="0" fontId="0" fillId="5" borderId="9" xfId="0" applyFill="1" applyBorder="1" applyAlignment="1" applyProtection="1">
      <alignment vertical="center"/>
      <protection hidden="1"/>
    </xf>
    <xf numFmtId="181" fontId="0" fillId="5" borderId="5" xfId="0" applyNumberFormat="1" applyFill="1" applyBorder="1" applyAlignment="1" applyProtection="1">
      <alignment vertical="center"/>
      <protection hidden="1"/>
    </xf>
    <xf numFmtId="181" fontId="0" fillId="5" borderId="11" xfId="0" applyNumberFormat="1" applyFill="1" applyBorder="1" applyAlignment="1" applyProtection="1">
      <alignment vertical="center"/>
      <protection hidden="1"/>
    </xf>
    <xf numFmtId="0" fontId="0" fillId="5" borderId="6" xfId="0" applyFill="1" applyBorder="1" applyAlignment="1" applyProtection="1">
      <alignment horizontal="left" vertical="center" indent="2"/>
      <protection hidden="1"/>
    </xf>
    <xf numFmtId="9" fontId="0" fillId="5" borderId="7" xfId="1" applyFont="1" applyFill="1" applyBorder="1" applyAlignment="1" applyProtection="1">
      <alignment vertical="center"/>
      <protection hidden="1"/>
    </xf>
    <xf numFmtId="9" fontId="0" fillId="5" borderId="10" xfId="1" applyFont="1" applyFill="1" applyBorder="1" applyAlignment="1" applyProtection="1">
      <alignment vertical="center"/>
      <protection hidden="1"/>
    </xf>
    <xf numFmtId="174" fontId="0" fillId="0" borderId="1" xfId="0" applyNumberFormat="1" applyBorder="1" applyAlignment="1" applyProtection="1">
      <alignment vertical="center"/>
      <protection hidden="1"/>
    </xf>
    <xf numFmtId="183" fontId="0" fillId="0" borderId="1" xfId="1" applyNumberFormat="1" applyFont="1" applyBorder="1" applyAlignment="1" applyProtection="1">
      <alignment vertical="center"/>
      <protection hidden="1"/>
    </xf>
    <xf numFmtId="184" fontId="0" fillId="5" borderId="0" xfId="0" applyNumberFormat="1" applyFill="1" applyAlignment="1" applyProtection="1">
      <alignment vertical="center"/>
      <protection hidden="1"/>
    </xf>
    <xf numFmtId="185" fontId="0" fillId="5" borderId="0" xfId="0" applyNumberFormat="1" applyFill="1" applyAlignment="1" applyProtection="1">
      <alignment vertical="center"/>
      <protection hidden="1"/>
    </xf>
    <xf numFmtId="186" fontId="0" fillId="5" borderId="0" xfId="0" applyNumberFormat="1" applyFill="1" applyAlignment="1" applyProtection="1">
      <alignment vertical="center"/>
      <protection hidden="1"/>
    </xf>
    <xf numFmtId="10" fontId="0" fillId="5" borderId="0" xfId="1" applyNumberFormat="1" applyFont="1" applyFill="1" applyAlignment="1" applyProtection="1">
      <alignment vertical="center"/>
      <protection hidden="1"/>
    </xf>
    <xf numFmtId="9" fontId="0" fillId="0" borderId="0" xfId="1" applyFont="1"/>
    <xf numFmtId="0" fontId="0" fillId="6" borderId="1" xfId="0" applyFill="1" applyBorder="1" applyAlignment="1" applyProtection="1">
      <alignment vertical="center"/>
      <protection hidden="1"/>
    </xf>
    <xf numFmtId="0" fontId="12" fillId="5" borderId="13" xfId="0" applyFont="1" applyFill="1" applyBorder="1" applyAlignment="1" applyProtection="1">
      <alignment horizontal="center" vertical="center"/>
      <protection hidden="1"/>
    </xf>
    <xf numFmtId="0" fontId="12" fillId="5" borderId="9" xfId="0" applyFont="1" applyFill="1" applyBorder="1" applyAlignment="1" applyProtection="1">
      <alignment horizontal="center" vertical="center"/>
      <protection hidden="1"/>
    </xf>
    <xf numFmtId="0" fontId="12" fillId="5" borderId="4" xfId="0" applyFont="1" applyFill="1" applyBorder="1" applyAlignment="1" applyProtection="1">
      <alignment horizontal="center" vertical="center"/>
      <protection hidden="1"/>
    </xf>
    <xf numFmtId="0" fontId="12" fillId="5" borderId="0" xfId="0" applyFont="1" applyFill="1" applyBorder="1" applyAlignment="1" applyProtection="1">
      <alignment horizontal="center" vertical="center"/>
      <protection hidden="1"/>
    </xf>
    <xf numFmtId="0" fontId="12" fillId="5" borderId="11" xfId="0" applyFont="1" applyFill="1" applyBorder="1" applyAlignment="1" applyProtection="1">
      <alignment horizontal="center" vertical="center"/>
      <protection hidden="1"/>
    </xf>
    <xf numFmtId="0" fontId="12" fillId="5" borderId="6" xfId="0" applyFont="1" applyFill="1" applyBorder="1" applyAlignment="1" applyProtection="1">
      <alignment horizontal="center" vertical="center"/>
      <protection hidden="1"/>
    </xf>
    <xf numFmtId="0" fontId="12" fillId="5" borderId="12" xfId="0" applyFont="1" applyFill="1" applyBorder="1" applyAlignment="1" applyProtection="1">
      <alignment horizontal="center" vertical="center"/>
      <protection hidden="1"/>
    </xf>
    <xf numFmtId="0" fontId="12" fillId="5" borderId="10" xfId="0" applyFont="1" applyFill="1" applyBorder="1" applyAlignment="1" applyProtection="1">
      <alignment horizontal="center" vertical="center"/>
      <protection hidden="1"/>
    </xf>
    <xf numFmtId="2" fontId="0" fillId="0" borderId="0" xfId="0" applyNumberFormat="1" applyAlignment="1">
      <alignment vertical="center"/>
    </xf>
    <xf numFmtId="174" fontId="0" fillId="0" borderId="0" xfId="0" applyNumberFormat="1" applyAlignment="1">
      <alignment vertical="center"/>
    </xf>
    <xf numFmtId="2" fontId="0" fillId="0" borderId="0" xfId="0" applyNumberFormat="1" applyAlignment="1">
      <alignment horizontal="center" vertical="center"/>
    </xf>
    <xf numFmtId="185" fontId="0" fillId="0" borderId="0" xfId="0" applyNumberFormat="1" applyAlignment="1">
      <alignment vertical="center"/>
    </xf>
    <xf numFmtId="187" fontId="0" fillId="0" borderId="0" xfId="0" applyNumberFormat="1" applyAlignment="1">
      <alignment vertical="center"/>
    </xf>
    <xf numFmtId="0" fontId="0" fillId="6" borderId="1" xfId="0" applyFill="1" applyBorder="1" applyAlignment="1" applyProtection="1">
      <alignment horizontal="right" vertical="center"/>
      <protection hidden="1"/>
    </xf>
    <xf numFmtId="170" fontId="0" fillId="6" borderId="1" xfId="0" applyNumberFormat="1" applyFill="1" applyBorder="1" applyAlignment="1" applyProtection="1">
      <alignment horizontal="right" vertical="center"/>
      <protection hidden="1"/>
    </xf>
    <xf numFmtId="188" fontId="0" fillId="6" borderId="1" xfId="0" applyNumberFormat="1" applyFill="1" applyBorder="1" applyAlignment="1" applyProtection="1">
      <alignment vertical="center"/>
      <protection hidden="1"/>
    </xf>
    <xf numFmtId="0" fontId="0" fillId="5" borderId="1" xfId="0" applyFill="1" applyBorder="1" applyAlignment="1" applyProtection="1">
      <alignment vertical="center"/>
      <protection hidden="1"/>
    </xf>
    <xf numFmtId="177" fontId="0" fillId="5" borderId="0" xfId="0" applyNumberFormat="1"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174" fontId="0" fillId="5" borderId="0" xfId="0" applyNumberFormat="1" applyFill="1" applyBorder="1" applyAlignment="1" applyProtection="1">
      <alignment horizontal="center" vertical="center"/>
      <protection hidden="1"/>
    </xf>
    <xf numFmtId="0" fontId="0" fillId="5" borderId="0" xfId="0" applyFill="1"/>
    <xf numFmtId="0" fontId="0" fillId="5" borderId="0" xfId="0" applyFill="1" applyBorder="1" applyAlignment="1" applyProtection="1">
      <alignment vertical="center"/>
      <protection hidden="1"/>
    </xf>
    <xf numFmtId="0" fontId="0" fillId="5" borderId="0" xfId="0" applyFill="1" applyAlignment="1">
      <alignment vertical="top"/>
    </xf>
    <xf numFmtId="190" fontId="0" fillId="0" borderId="0" xfId="0" applyNumberFormat="1"/>
    <xf numFmtId="2" fontId="0" fillId="0" borderId="0" xfId="0" applyNumberFormat="1" applyFill="1" applyAlignment="1">
      <alignment vertical="center"/>
    </xf>
    <xf numFmtId="0" fontId="0" fillId="0" borderId="0" xfId="0"/>
    <xf numFmtId="0" fontId="0" fillId="0" borderId="0" xfId="0" applyAlignment="1"/>
    <xf numFmtId="189" fontId="0" fillId="0" borderId="0" xfId="0" applyNumberFormat="1" applyAlignment="1"/>
    <xf numFmtId="174" fontId="0" fillId="0" borderId="0" xfId="0" applyNumberFormat="1"/>
    <xf numFmtId="187" fontId="0" fillId="0" borderId="0" xfId="0" applyNumberFormat="1"/>
    <xf numFmtId="186" fontId="0" fillId="0" borderId="0" xfId="0" applyNumberFormat="1" applyAlignment="1"/>
    <xf numFmtId="185" fontId="0" fillId="0" borderId="0" xfId="0" applyNumberFormat="1"/>
    <xf numFmtId="192" fontId="0" fillId="0" borderId="0" xfId="0" applyNumberFormat="1"/>
    <xf numFmtId="183" fontId="0" fillId="0" borderId="0" xfId="1" applyNumberFormat="1" applyFont="1"/>
    <xf numFmtId="178" fontId="0" fillId="0" borderId="0" xfId="0" applyNumberFormat="1" applyAlignment="1">
      <alignment vertical="center"/>
    </xf>
    <xf numFmtId="0" fontId="0" fillId="6" borderId="1" xfId="0" applyFill="1" applyBorder="1" applyAlignment="1" applyProtection="1">
      <alignment horizontal="right" vertical="center"/>
      <protection locked="0"/>
    </xf>
    <xf numFmtId="170" fontId="0" fillId="6" borderId="1" xfId="0" applyNumberFormat="1" applyFill="1" applyBorder="1" applyAlignment="1" applyProtection="1">
      <alignment horizontal="right" vertical="center"/>
      <protection locked="0"/>
    </xf>
    <xf numFmtId="0" fontId="0" fillId="5" borderId="0" xfId="0" applyFill="1" applyProtection="1">
      <protection hidden="1"/>
    </xf>
    <xf numFmtId="0" fontId="0" fillId="5" borderId="0" xfId="0" applyFill="1" applyBorder="1" applyProtection="1">
      <protection hidden="1"/>
    </xf>
    <xf numFmtId="0" fontId="0" fillId="5" borderId="1" xfId="0" applyFill="1" applyBorder="1" applyProtection="1">
      <protection hidden="1"/>
    </xf>
    <xf numFmtId="0" fontId="0" fillId="5" borderId="0" xfId="0" applyFill="1" applyBorder="1" applyAlignment="1" applyProtection="1">
      <alignment horizontal="right"/>
      <protection hidden="1"/>
    </xf>
    <xf numFmtId="0" fontId="0" fillId="5" borderId="0" xfId="0" applyFill="1" applyAlignment="1" applyProtection="1">
      <alignment horizontal="right"/>
      <protection hidden="1"/>
    </xf>
    <xf numFmtId="178" fontId="21" fillId="0" borderId="1" xfId="0" applyNumberFormat="1" applyFont="1" applyBorder="1" applyAlignment="1" applyProtection="1">
      <alignment vertical="center"/>
      <protection hidden="1"/>
    </xf>
    <xf numFmtId="188" fontId="0" fillId="6" borderId="1" xfId="0" applyNumberFormat="1" applyFill="1" applyBorder="1" applyAlignment="1" applyProtection="1">
      <alignment vertical="center"/>
      <protection locked="0"/>
    </xf>
    <xf numFmtId="164" fontId="0" fillId="6" borderId="1" xfId="0" applyNumberFormat="1" applyFill="1" applyBorder="1" applyProtection="1">
      <protection locked="0"/>
    </xf>
    <xf numFmtId="0" fontId="0" fillId="6" borderId="0" xfId="0" applyFill="1"/>
    <xf numFmtId="164" fontId="0" fillId="10" borderId="0" xfId="0" applyNumberFormat="1" applyFill="1"/>
    <xf numFmtId="194" fontId="0" fillId="0" borderId="0" xfId="0" applyNumberFormat="1"/>
    <xf numFmtId="175" fontId="0" fillId="5" borderId="0" xfId="0" applyNumberFormat="1" applyFill="1" applyBorder="1" applyAlignment="1" applyProtection="1">
      <alignment vertical="center"/>
      <protection hidden="1"/>
    </xf>
    <xf numFmtId="0" fontId="2" fillId="5" borderId="0" xfId="0" applyFont="1" applyFill="1" applyBorder="1" applyAlignment="1" applyProtection="1">
      <alignment vertical="center"/>
      <protection hidden="1"/>
    </xf>
    <xf numFmtId="0" fontId="23" fillId="5" borderId="0" xfId="0" applyFont="1" applyFill="1" applyAlignment="1" applyProtection="1">
      <alignment horizontal="center"/>
      <protection hidden="1"/>
    </xf>
    <xf numFmtId="0" fontId="24" fillId="5" borderId="0" xfId="0" applyFont="1" applyFill="1" applyAlignment="1" applyProtection="1">
      <alignment horizontal="center"/>
      <protection hidden="1"/>
    </xf>
    <xf numFmtId="0" fontId="25" fillId="5" borderId="0" xfId="0" applyFont="1" applyFill="1" applyAlignment="1" applyProtection="1">
      <alignment horizontal="center"/>
      <protection hidden="1"/>
    </xf>
    <xf numFmtId="0" fontId="26" fillId="5" borderId="0" xfId="0" applyFont="1" applyFill="1" applyProtection="1">
      <protection locked="0"/>
    </xf>
    <xf numFmtId="0" fontId="0" fillId="5" borderId="1" xfId="0" applyFill="1" applyBorder="1" applyAlignment="1" applyProtection="1">
      <alignment vertical="center"/>
      <protection hidden="1"/>
    </xf>
    <xf numFmtId="0" fontId="0" fillId="0" borderId="0" xfId="0"/>
    <xf numFmtId="0" fontId="0" fillId="0" borderId="0" xfId="0"/>
    <xf numFmtId="0" fontId="5" fillId="0" borderId="0" xfId="0" applyFont="1" applyAlignment="1">
      <alignment vertical="center"/>
    </xf>
    <xf numFmtId="176" fontId="0" fillId="0" borderId="1" xfId="0" applyNumberFormat="1" applyBorder="1" applyAlignment="1" applyProtection="1">
      <alignment horizontal="right" vertical="center"/>
      <protection hidden="1"/>
    </xf>
    <xf numFmtId="0" fontId="0" fillId="5" borderId="0" xfId="0" applyFill="1" applyBorder="1" applyAlignment="1" applyProtection="1">
      <alignment wrapText="1"/>
      <protection hidden="1"/>
    </xf>
    <xf numFmtId="164" fontId="21" fillId="5" borderId="0" xfId="0" applyNumberFormat="1" applyFont="1" applyFill="1" applyBorder="1" applyAlignment="1" applyProtection="1">
      <alignment vertical="center"/>
      <protection hidden="1"/>
    </xf>
    <xf numFmtId="164" fontId="21" fillId="5" borderId="1" xfId="0" applyNumberFormat="1" applyFont="1" applyFill="1" applyBorder="1" applyAlignment="1" applyProtection="1">
      <alignment vertical="center"/>
      <protection hidden="1"/>
    </xf>
    <xf numFmtId="0" fontId="21" fillId="5" borderId="1" xfId="0" applyFont="1" applyFill="1" applyBorder="1" applyAlignment="1" applyProtection="1">
      <alignment horizontal="right" vertical="center"/>
      <protection hidden="1"/>
    </xf>
    <xf numFmtId="183" fontId="21" fillId="5" borderId="1" xfId="1" applyNumberFormat="1" applyFont="1" applyFill="1" applyBorder="1" applyAlignment="1" applyProtection="1">
      <alignment horizontal="right" vertical="center"/>
      <protection hidden="1"/>
    </xf>
    <xf numFmtId="193" fontId="21" fillId="5" borderId="1" xfId="0" applyNumberFormat="1" applyFont="1" applyFill="1" applyBorder="1" applyAlignment="1" applyProtection="1">
      <alignment horizontal="right" vertical="center"/>
      <protection hidden="1"/>
    </xf>
    <xf numFmtId="186" fontId="21" fillId="0" borderId="1" xfId="0" applyNumberFormat="1" applyFont="1" applyBorder="1" applyAlignment="1">
      <alignment vertical="center"/>
    </xf>
    <xf numFmtId="9" fontId="21" fillId="5" borderId="1" xfId="0" applyNumberFormat="1" applyFont="1" applyFill="1" applyBorder="1" applyAlignment="1" applyProtection="1">
      <alignment horizontal="right" vertical="center"/>
      <protection hidden="1"/>
    </xf>
    <xf numFmtId="164" fontId="21" fillId="5" borderId="1" xfId="0" applyNumberFormat="1" applyFont="1" applyFill="1" applyBorder="1" applyAlignment="1" applyProtection="1">
      <alignment horizontal="right" vertical="center"/>
      <protection hidden="1"/>
    </xf>
    <xf numFmtId="0" fontId="0" fillId="0" borderId="0" xfId="0" applyNumberFormat="1"/>
    <xf numFmtId="195" fontId="0" fillId="0" borderId="0" xfId="0" applyNumberFormat="1"/>
    <xf numFmtId="0" fontId="0" fillId="0" borderId="0" xfId="0" applyAlignment="1">
      <alignment vertical="top"/>
    </xf>
    <xf numFmtId="0" fontId="0" fillId="0" borderId="0" xfId="0" applyAlignment="1">
      <alignment vertical="top" wrapText="1"/>
    </xf>
    <xf numFmtId="0" fontId="27" fillId="5" borderId="0" xfId="0" applyFont="1" applyFill="1" applyProtection="1">
      <protection hidden="1"/>
    </xf>
    <xf numFmtId="0" fontId="29" fillId="5" borderId="0" xfId="0" applyFont="1" applyFill="1" applyAlignment="1" applyProtection="1">
      <alignment horizontal="left" indent="1"/>
      <protection hidden="1"/>
    </xf>
    <xf numFmtId="0" fontId="0" fillId="0" borderId="0" xfId="0"/>
    <xf numFmtId="0" fontId="0" fillId="0" borderId="0" xfId="0"/>
    <xf numFmtId="2" fontId="21" fillId="5" borderId="1" xfId="0" applyNumberFormat="1" applyFont="1" applyFill="1" applyBorder="1" applyAlignment="1" applyProtection="1">
      <alignment horizontal="right" vertical="center"/>
      <protection hidden="1"/>
    </xf>
    <xf numFmtId="171" fontId="21" fillId="0" borderId="1" xfId="0" applyNumberFormat="1" applyFont="1" applyBorder="1"/>
    <xf numFmtId="0" fontId="0" fillId="0" borderId="0" xfId="0" applyAlignment="1">
      <alignment horizontal="center"/>
    </xf>
    <xf numFmtId="0" fontId="0" fillId="0" borderId="0" xfId="0"/>
    <xf numFmtId="0" fontId="0" fillId="11" borderId="0" xfId="0" applyFill="1"/>
    <xf numFmtId="0" fontId="0" fillId="12" borderId="0" xfId="0" applyFill="1"/>
    <xf numFmtId="0" fontId="2" fillId="10" borderId="0" xfId="0" applyFont="1" applyFill="1"/>
    <xf numFmtId="0" fontId="21" fillId="5" borderId="3" xfId="0" applyFont="1" applyFill="1" applyBorder="1" applyAlignment="1" applyProtection="1">
      <alignment horizontal="right" vertical="center"/>
      <protection hidden="1"/>
    </xf>
    <xf numFmtId="183" fontId="21" fillId="5" borderId="7" xfId="1" applyNumberFormat="1" applyFont="1" applyFill="1" applyBorder="1" applyAlignment="1" applyProtection="1">
      <alignment horizontal="right" vertical="center"/>
      <protection hidden="1"/>
    </xf>
    <xf numFmtId="0" fontId="0" fillId="0" borderId="0" xfId="0"/>
    <xf numFmtId="164" fontId="0" fillId="0" borderId="0" xfId="0" applyNumberFormat="1" applyFill="1"/>
    <xf numFmtId="0" fontId="0" fillId="0" borderId="0" xfId="0" applyAlignment="1">
      <alignment horizontal="left" indent="1"/>
    </xf>
    <xf numFmtId="0" fontId="0" fillId="5" borderId="0" xfId="0" applyFill="1" applyAlignment="1" applyProtection="1">
      <alignment vertical="center" wrapText="1"/>
      <protection hidden="1"/>
    </xf>
    <xf numFmtId="0" fontId="30" fillId="5" borderId="0" xfId="0" applyFont="1" applyFill="1" applyAlignment="1" applyProtection="1">
      <alignment horizontal="right" vertical="top"/>
      <protection hidden="1"/>
    </xf>
    <xf numFmtId="0" fontId="0" fillId="0" borderId="13" xfId="0" applyFill="1" applyBorder="1" applyAlignment="1" applyProtection="1">
      <alignment vertical="center"/>
      <protection locked="0"/>
    </xf>
    <xf numFmtId="0" fontId="0" fillId="5" borderId="13" xfId="0" applyFill="1" applyBorder="1" applyAlignment="1" applyProtection="1">
      <alignment vertical="center"/>
      <protection hidden="1"/>
    </xf>
    <xf numFmtId="0" fontId="11" fillId="5" borderId="0" xfId="0" applyFont="1" applyFill="1" applyAlignment="1" applyProtection="1">
      <alignment horizontal="center" vertical="center"/>
      <protection hidden="1"/>
    </xf>
    <xf numFmtId="0" fontId="2" fillId="7" borderId="0" xfId="0" applyFont="1" applyFill="1" applyAlignment="1" applyProtection="1">
      <alignment horizontal="center" vertical="center" wrapText="1"/>
      <protection hidden="1"/>
    </xf>
    <xf numFmtId="0" fontId="12" fillId="5" borderId="0" xfId="0" applyFont="1" applyFill="1" applyAlignment="1" applyProtection="1">
      <alignment horizontal="center" vertical="center"/>
      <protection hidden="1"/>
    </xf>
    <xf numFmtId="0" fontId="16" fillId="7" borderId="12" xfId="0" applyFont="1" applyFill="1" applyBorder="1" applyAlignment="1" applyProtection="1">
      <alignment horizontal="center" vertical="center" wrapText="1"/>
      <protection hidden="1"/>
    </xf>
    <xf numFmtId="0" fontId="12" fillId="5" borderId="13" xfId="0" applyFont="1" applyFill="1" applyBorder="1" applyAlignment="1" applyProtection="1">
      <alignment horizontal="center" vertical="center"/>
      <protection hidden="1"/>
    </xf>
    <xf numFmtId="0" fontId="0" fillId="0" borderId="0" xfId="0" applyAlignment="1">
      <alignment horizontal="center" vertical="center"/>
    </xf>
    <xf numFmtId="0" fontId="0" fillId="5" borderId="1" xfId="0" applyFill="1" applyBorder="1" applyAlignment="1" applyProtection="1">
      <alignment vertical="center"/>
      <protection hidden="1"/>
    </xf>
    <xf numFmtId="0" fontId="0" fillId="6" borderId="9" xfId="0" applyFill="1" applyBorder="1" applyAlignment="1" applyProtection="1">
      <alignment vertical="center" wrapText="1"/>
      <protection locked="0"/>
    </xf>
    <xf numFmtId="0" fontId="0" fillId="6" borderId="10" xfId="0"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7" xfId="0" applyFill="1" applyBorder="1" applyAlignment="1" applyProtection="1">
      <alignment vertical="center" wrapText="1"/>
      <protection locked="0"/>
    </xf>
    <xf numFmtId="0" fontId="12" fillId="5" borderId="0" xfId="0" applyFont="1" applyFill="1" applyBorder="1" applyAlignment="1" applyProtection="1">
      <alignment horizontal="center" vertical="center"/>
      <protection hidden="1"/>
    </xf>
    <xf numFmtId="0" fontId="12" fillId="5" borderId="4" xfId="0" applyFont="1" applyFill="1" applyBorder="1" applyAlignment="1" applyProtection="1">
      <alignment horizontal="center" vertical="center"/>
      <protection hidden="1"/>
    </xf>
    <xf numFmtId="0" fontId="12" fillId="5" borderId="11" xfId="0" applyFont="1" applyFill="1" applyBorder="1" applyAlignment="1" applyProtection="1">
      <alignment horizontal="center" vertical="center"/>
      <protection hidden="1"/>
    </xf>
    <xf numFmtId="0" fontId="12" fillId="5" borderId="12" xfId="0" applyFont="1" applyFill="1" applyBorder="1" applyAlignment="1" applyProtection="1">
      <alignment horizontal="center" vertical="center"/>
      <protection hidden="1"/>
    </xf>
    <xf numFmtId="0" fontId="0" fillId="0" borderId="0" xfId="0" applyAlignment="1">
      <alignment horizontal="center"/>
    </xf>
    <xf numFmtId="0" fontId="0" fillId="0" borderId="0" xfId="0"/>
    <xf numFmtId="191" fontId="0" fillId="0" borderId="0" xfId="0" applyNumberFormat="1" applyAlignment="1">
      <alignment horizontal="center"/>
    </xf>
    <xf numFmtId="185" fontId="0" fillId="0" borderId="0" xfId="0" applyNumberFormat="1" applyAlignment="1">
      <alignment horizontal="center"/>
    </xf>
    <xf numFmtId="186" fontId="0" fillId="0" borderId="0" xfId="0" quotePrefix="1" applyNumberFormat="1" applyAlignment="1">
      <alignment horizontal="center"/>
    </xf>
    <xf numFmtId="190" fontId="0" fillId="0" borderId="0" xfId="0" applyNumberFormat="1" applyAlignment="1">
      <alignment horizontal="center"/>
    </xf>
    <xf numFmtId="189" fontId="0" fillId="0" borderId="0" xfId="0" applyNumberFormat="1" applyAlignment="1">
      <alignment horizontal="center"/>
    </xf>
    <xf numFmtId="170" fontId="0" fillId="0" borderId="0" xfId="0" applyNumberFormat="1" applyAlignment="1">
      <alignment horizontal="center"/>
    </xf>
    <xf numFmtId="164" fontId="0" fillId="0" borderId="0" xfId="0" applyNumberFormat="1" applyAlignment="1">
      <alignment horizontal="center"/>
    </xf>
    <xf numFmtId="0" fontId="5" fillId="0" borderId="0" xfId="0" applyFont="1"/>
    <xf numFmtId="173" fontId="0" fillId="0" borderId="0" xfId="0" applyNumberFormat="1" applyAlignment="1">
      <alignment horizontal="center"/>
    </xf>
    <xf numFmtId="0" fontId="15" fillId="9" borderId="1" xfId="0" applyFont="1" applyFill="1" applyBorder="1" applyAlignment="1" applyProtection="1">
      <alignment vertical="center" wrapText="1"/>
      <protection hidden="1"/>
    </xf>
    <xf numFmtId="0" fontId="19" fillId="9" borderId="1" xfId="0" applyFont="1" applyFill="1" applyBorder="1" applyAlignment="1" applyProtection="1">
      <alignment vertical="center" wrapText="1"/>
      <protection hidden="1"/>
    </xf>
    <xf numFmtId="0" fontId="0" fillId="0" borderId="1" xfId="0" applyBorder="1" applyAlignment="1" applyProtection="1">
      <alignment vertical="top"/>
      <protection hidden="1"/>
    </xf>
    <xf numFmtId="0" fontId="0" fillId="0" borderId="3" xfId="0" applyBorder="1" applyAlignment="1" applyProtection="1">
      <alignment vertical="top"/>
      <protection hidden="1"/>
    </xf>
    <xf numFmtId="0" fontId="0" fillId="5" borderId="1" xfId="0" applyFill="1" applyBorder="1" applyAlignment="1" applyProtection="1">
      <alignment vertical="top" wrapText="1"/>
      <protection hidden="1"/>
    </xf>
    <xf numFmtId="0" fontId="0" fillId="5" borderId="3" xfId="0" applyFill="1" applyBorder="1" applyAlignment="1" applyProtection="1">
      <alignment vertical="top" wrapText="1"/>
      <protection hidden="1"/>
    </xf>
    <xf numFmtId="0" fontId="0" fillId="5" borderId="13" xfId="0" applyFill="1" applyBorder="1" applyAlignment="1" applyProtection="1">
      <alignment vertical="center" wrapText="1"/>
      <protection hidden="1"/>
    </xf>
    <xf numFmtId="0" fontId="0" fillId="5" borderId="0" xfId="0" applyFill="1" applyBorder="1" applyAlignment="1" applyProtection="1">
      <alignment vertical="center" wrapText="1"/>
      <protection hidden="1"/>
    </xf>
    <xf numFmtId="0" fontId="2" fillId="7" borderId="0" xfId="0" applyFont="1" applyFill="1" applyBorder="1" applyAlignment="1" applyProtection="1">
      <alignment vertical="center"/>
      <protection hidden="1"/>
    </xf>
    <xf numFmtId="0" fontId="15" fillId="9" borderId="1" xfId="0" applyFont="1" applyFill="1" applyBorder="1" applyAlignment="1" applyProtection="1">
      <alignment horizontal="center" vertical="center" wrapText="1"/>
      <protection locked="0" hidden="1"/>
    </xf>
    <xf numFmtId="175" fontId="0" fillId="5" borderId="13" xfId="0" applyNumberFormat="1" applyFill="1" applyBorder="1" applyAlignment="1" applyProtection="1">
      <alignment horizontal="left" vertical="center" indent="1"/>
      <protection hidden="1"/>
    </xf>
    <xf numFmtId="0" fontId="15" fillId="9" borderId="13" xfId="0" applyFont="1" applyFill="1" applyBorder="1" applyAlignment="1" applyProtection="1">
      <alignment horizontal="center" vertical="center" wrapText="1"/>
      <protection hidden="1"/>
    </xf>
    <xf numFmtId="0" fontId="15" fillId="9" borderId="12" xfId="0" applyFont="1" applyFill="1" applyBorder="1" applyAlignment="1" applyProtection="1">
      <alignment horizontal="center" vertical="center" wrapText="1"/>
      <protection hidden="1"/>
    </xf>
    <xf numFmtId="0" fontId="15" fillId="9" borderId="9" xfId="0" applyFont="1" applyFill="1" applyBorder="1" applyAlignment="1" applyProtection="1">
      <alignment horizontal="center" vertical="center" wrapText="1"/>
      <protection hidden="1"/>
    </xf>
    <xf numFmtId="0" fontId="15" fillId="9" borderId="10" xfId="0" applyFont="1" applyFill="1" applyBorder="1" applyAlignment="1" applyProtection="1">
      <alignment horizontal="center" vertical="center" wrapText="1"/>
      <protection hidden="1"/>
    </xf>
    <xf numFmtId="0" fontId="15" fillId="9" borderId="2" xfId="0" applyFont="1" applyFill="1" applyBorder="1" applyAlignment="1" applyProtection="1">
      <alignment vertical="center"/>
      <protection hidden="1"/>
    </xf>
    <xf numFmtId="0" fontId="15" fillId="9" borderId="6" xfId="0" applyFont="1" applyFill="1" applyBorder="1" applyAlignment="1" applyProtection="1">
      <alignment vertical="center"/>
      <protection hidden="1"/>
    </xf>
    <xf numFmtId="0" fontId="0" fillId="5" borderId="14" xfId="0" applyFill="1" applyBorder="1" applyAlignment="1" applyProtection="1">
      <alignment vertical="center"/>
      <protection hidden="1"/>
    </xf>
    <xf numFmtId="0" fontId="0" fillId="5" borderId="8" xfId="0" applyFill="1" applyBorder="1" applyAlignment="1" applyProtection="1">
      <alignment vertical="center"/>
      <protection hidden="1"/>
    </xf>
    <xf numFmtId="0" fontId="3" fillId="5" borderId="0" xfId="0" applyFont="1" applyFill="1" applyAlignment="1" applyProtection="1">
      <alignment vertical="top" wrapText="1"/>
      <protection hidden="1"/>
    </xf>
    <xf numFmtId="0" fontId="0" fillId="5" borderId="15" xfId="0" applyFill="1" applyBorder="1" applyAlignment="1" applyProtection="1">
      <alignment vertical="center"/>
      <protection hidden="1"/>
    </xf>
    <xf numFmtId="0" fontId="31" fillId="5" borderId="0" xfId="0" applyFont="1" applyFill="1" applyAlignment="1" applyProtection="1">
      <alignment horizontal="center" vertical="center" textRotation="10"/>
      <protection hidden="1"/>
    </xf>
    <xf numFmtId="0" fontId="0" fillId="5" borderId="1" xfId="0" applyFill="1" applyBorder="1" applyAlignment="1" applyProtection="1">
      <alignment vertical="center" wrapText="1"/>
      <protection hidden="1"/>
    </xf>
    <xf numFmtId="0" fontId="28" fillId="5" borderId="0" xfId="0" applyFont="1" applyFill="1" applyAlignment="1" applyProtection="1">
      <alignment vertical="top" wrapText="1"/>
      <protection hidden="1"/>
    </xf>
    <xf numFmtId="0" fontId="28" fillId="0" borderId="0" xfId="0" applyFont="1" applyAlignment="1">
      <alignment vertical="top" wrapText="1"/>
    </xf>
    <xf numFmtId="0" fontId="11" fillId="5" borderId="0" xfId="0" applyFont="1" applyFill="1" applyAlignment="1" applyProtection="1">
      <alignment horizontal="center" vertical="top" wrapText="1"/>
      <protection hidden="1"/>
    </xf>
    <xf numFmtId="0" fontId="33" fillId="5" borderId="0" xfId="0" applyFont="1" applyFill="1" applyAlignment="1" applyProtection="1">
      <alignment horizontal="center" vertical="center" textRotation="10"/>
      <protection hidden="1"/>
    </xf>
    <xf numFmtId="0" fontId="0" fillId="5" borderId="0" xfId="0" applyFill="1" applyAlignment="1">
      <alignment horizontal="justify" vertical="top" wrapText="1"/>
    </xf>
  </cellXfs>
  <cellStyles count="2">
    <cellStyle name="Normal" xfId="0" builtinId="0"/>
    <cellStyle name="Percent" xfId="1" builtinId="5"/>
  </cellStyles>
  <dxfs count="4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C000"/>
      </font>
    </dxf>
    <dxf>
      <font>
        <b/>
        <i val="0"/>
        <color rgb="FFFF0000"/>
      </font>
    </dxf>
    <dxf>
      <font>
        <b/>
        <i val="0"/>
        <color rgb="FFFFC000"/>
      </font>
    </dxf>
    <dxf>
      <font>
        <b/>
        <i val="0"/>
        <color rgb="FFFFC000"/>
      </font>
    </dxf>
    <dxf>
      <font>
        <b/>
        <i val="0"/>
        <color rgb="FFFF0000"/>
      </font>
    </dxf>
    <dxf>
      <font>
        <color theme="0"/>
      </font>
    </dxf>
    <dxf>
      <font>
        <color theme="0"/>
      </font>
    </dxf>
    <dxf>
      <font>
        <color theme="0"/>
      </font>
    </dxf>
    <dxf>
      <font>
        <b/>
        <i val="0"/>
        <color rgb="FFFF0000"/>
      </font>
    </dxf>
    <dxf>
      <font>
        <b/>
        <i val="0"/>
        <color rgb="FFFF0000"/>
      </font>
    </dxf>
    <dxf>
      <font>
        <b/>
        <i val="0"/>
        <color rgb="FFFFC000"/>
      </font>
    </dxf>
    <dxf>
      <font>
        <b/>
        <i val="0"/>
        <color rgb="FFFF0000"/>
      </font>
    </dxf>
    <dxf>
      <border>
        <top style="thin">
          <color auto="1"/>
        </top>
        <vertical/>
        <horizontal/>
      </border>
    </dxf>
    <dxf>
      <border>
        <top style="thin">
          <color auto="1"/>
        </top>
        <vertical/>
        <horizontal/>
      </border>
    </dxf>
    <dxf>
      <border>
        <top style="thin">
          <color auto="1"/>
        </top>
        <vertical/>
        <horizontal/>
      </border>
    </dxf>
    <dxf>
      <font>
        <color theme="0"/>
      </font>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top style="thin">
          <color auto="1"/>
        </top>
        <vertical/>
        <horizontal/>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009530"/>
      <color rgb="FFEAB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Cable max </a:t>
            </a:r>
            <a:r>
              <a:rPr lang="el-GR"/>
              <a:t>Δ</a:t>
            </a:r>
            <a:r>
              <a:rPr lang="fr-FR"/>
              <a: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scatterChart>
        <c:scatterStyle val="smoothMarker"/>
        <c:varyColors val="0"/>
        <c:ser>
          <c:idx val="0"/>
          <c:order val="0"/>
          <c:tx>
            <c:strRef>
              <c:f>Feuil1!$A$30</c:f>
              <c:strCache>
                <c:ptCount val="1"/>
                <c:pt idx="0">
                  <c:v>Cable max ΔT</c:v>
                </c:pt>
              </c:strCache>
            </c:strRef>
          </c:tx>
          <c:spPr>
            <a:ln w="19050" cap="rnd">
              <a:solidFill>
                <a:schemeClr val="accent1"/>
              </a:solidFill>
              <a:round/>
            </a:ln>
            <a:effectLst/>
          </c:spPr>
          <c:marker>
            <c:symbol val="none"/>
          </c:marker>
          <c:xVal>
            <c:numRef>
              <c:f>Feuil1!$B$29:$J$29</c:f>
              <c:numCache>
                <c:formatCode>General</c:formatCode>
                <c:ptCount val="9"/>
                <c:pt idx="1">
                  <c:v>54</c:v>
                </c:pt>
                <c:pt idx="2">
                  <c:v>75</c:v>
                </c:pt>
                <c:pt idx="3">
                  <c:v>96</c:v>
                </c:pt>
                <c:pt idx="4">
                  <c:v>114</c:v>
                </c:pt>
                <c:pt idx="5">
                  <c:v>135</c:v>
                </c:pt>
                <c:pt idx="6">
                  <c:v>153</c:v>
                </c:pt>
                <c:pt idx="7">
                  <c:v>174</c:v>
                </c:pt>
                <c:pt idx="8">
                  <c:v>195</c:v>
                </c:pt>
              </c:numCache>
            </c:numRef>
          </c:xVal>
          <c:yVal>
            <c:numRef>
              <c:f>Feuil1!$B$30:$J$30</c:f>
              <c:numCache>
                <c:formatCode>General</c:formatCode>
                <c:ptCount val="9"/>
                <c:pt idx="1">
                  <c:v>8.3000000000000007</c:v>
                </c:pt>
                <c:pt idx="2">
                  <c:v>9.9</c:v>
                </c:pt>
                <c:pt idx="3">
                  <c:v>11.3</c:v>
                </c:pt>
                <c:pt idx="4">
                  <c:v>12.2</c:v>
                </c:pt>
                <c:pt idx="5">
                  <c:v>13.2</c:v>
                </c:pt>
                <c:pt idx="6">
                  <c:v>13.9</c:v>
                </c:pt>
                <c:pt idx="7">
                  <c:v>14.7</c:v>
                </c:pt>
                <c:pt idx="8">
                  <c:v>15.4</c:v>
                </c:pt>
              </c:numCache>
            </c:numRef>
          </c:yVal>
          <c:smooth val="1"/>
          <c:extLst>
            <c:ext xmlns:c16="http://schemas.microsoft.com/office/drawing/2014/chart" uri="{C3380CC4-5D6E-409C-BE32-E72D297353CC}">
              <c16:uniqueId val="{00000000-49B4-4BAE-8BBE-AAD9442BC0EB}"/>
            </c:ext>
          </c:extLst>
        </c:ser>
        <c:ser>
          <c:idx val="1"/>
          <c:order val="1"/>
          <c:spPr>
            <a:ln w="19050" cap="rnd">
              <a:solidFill>
                <a:schemeClr val="accent2"/>
              </a:solidFill>
              <a:round/>
            </a:ln>
            <a:effectLst/>
          </c:spPr>
          <c:marker>
            <c:symbol val="none"/>
          </c:marker>
          <c:xVal>
            <c:numRef>
              <c:f>Feuil1!$C$33:$J$33</c:f>
              <c:numCache>
                <c:formatCode>General</c:formatCode>
                <c:ptCount val="8"/>
                <c:pt idx="0">
                  <c:v>36</c:v>
                </c:pt>
                <c:pt idx="1">
                  <c:v>50</c:v>
                </c:pt>
                <c:pt idx="2">
                  <c:v>64</c:v>
                </c:pt>
                <c:pt idx="3">
                  <c:v>76</c:v>
                </c:pt>
                <c:pt idx="4">
                  <c:v>90</c:v>
                </c:pt>
                <c:pt idx="5">
                  <c:v>102</c:v>
                </c:pt>
                <c:pt idx="6">
                  <c:v>116</c:v>
                </c:pt>
                <c:pt idx="7">
                  <c:v>130</c:v>
                </c:pt>
              </c:numCache>
            </c:numRef>
          </c:xVal>
          <c:yVal>
            <c:numRef>
              <c:f>Feuil1!$C$34:$J$34</c:f>
              <c:numCache>
                <c:formatCode>General</c:formatCode>
                <c:ptCount val="8"/>
                <c:pt idx="0">
                  <c:v>5.9</c:v>
                </c:pt>
                <c:pt idx="1">
                  <c:v>6.8</c:v>
                </c:pt>
                <c:pt idx="2">
                  <c:v>7.5</c:v>
                </c:pt>
                <c:pt idx="3">
                  <c:v>7.9</c:v>
                </c:pt>
                <c:pt idx="4">
                  <c:v>8.5</c:v>
                </c:pt>
                <c:pt idx="5">
                  <c:v>8.9</c:v>
                </c:pt>
                <c:pt idx="6">
                  <c:v>9.3000000000000007</c:v>
                </c:pt>
                <c:pt idx="7">
                  <c:v>9.6</c:v>
                </c:pt>
              </c:numCache>
            </c:numRef>
          </c:yVal>
          <c:smooth val="1"/>
          <c:extLst>
            <c:ext xmlns:c16="http://schemas.microsoft.com/office/drawing/2014/chart" uri="{C3380CC4-5D6E-409C-BE32-E72D297353CC}">
              <c16:uniqueId val="{00000002-49B4-4BAE-8BBE-AAD9442BC0EB}"/>
            </c:ext>
          </c:extLst>
        </c:ser>
        <c:ser>
          <c:idx val="2"/>
          <c:order val="2"/>
          <c:spPr>
            <a:ln w="19050" cap="rnd">
              <a:solidFill>
                <a:schemeClr val="accent3"/>
              </a:solidFill>
              <a:round/>
            </a:ln>
            <a:effectLst/>
          </c:spPr>
          <c:marker>
            <c:symbol val="none"/>
          </c:marker>
          <c:xVal>
            <c:numRef>
              <c:f>Feuil1!$D$40:$J$40</c:f>
              <c:numCache>
                <c:formatCode>General</c:formatCode>
                <c:ptCount val="7"/>
                <c:pt idx="0">
                  <c:v>68</c:v>
                </c:pt>
                <c:pt idx="1">
                  <c:v>88</c:v>
                </c:pt>
                <c:pt idx="2">
                  <c:v>104</c:v>
                </c:pt>
                <c:pt idx="3">
                  <c:v>128</c:v>
                </c:pt>
                <c:pt idx="4">
                  <c:v>144</c:v>
                </c:pt>
                <c:pt idx="5">
                  <c:v>164</c:v>
                </c:pt>
                <c:pt idx="6">
                  <c:v>184</c:v>
                </c:pt>
              </c:numCache>
            </c:numRef>
          </c:xVal>
          <c:yVal>
            <c:numRef>
              <c:f>Feuil1!$D$41:$J$41</c:f>
              <c:numCache>
                <c:formatCode>General</c:formatCode>
                <c:ptCount val="7"/>
                <c:pt idx="0">
                  <c:v>6.1</c:v>
                </c:pt>
                <c:pt idx="1">
                  <c:v>7.2</c:v>
                </c:pt>
                <c:pt idx="2">
                  <c:v>8.1</c:v>
                </c:pt>
                <c:pt idx="3">
                  <c:v>8.9</c:v>
                </c:pt>
                <c:pt idx="4">
                  <c:v>9.4</c:v>
                </c:pt>
                <c:pt idx="5">
                  <c:v>10</c:v>
                </c:pt>
                <c:pt idx="6">
                  <c:v>10.6</c:v>
                </c:pt>
              </c:numCache>
            </c:numRef>
          </c:yVal>
          <c:smooth val="1"/>
          <c:extLst>
            <c:ext xmlns:c16="http://schemas.microsoft.com/office/drawing/2014/chart" uri="{C3380CC4-5D6E-409C-BE32-E72D297353CC}">
              <c16:uniqueId val="{00000003-02BC-472A-86DA-122966DEB53D}"/>
            </c:ext>
          </c:extLst>
        </c:ser>
        <c:ser>
          <c:idx val="3"/>
          <c:order val="3"/>
          <c:spPr>
            <a:ln w="19050" cap="rnd">
              <a:solidFill>
                <a:schemeClr val="accent4"/>
              </a:solidFill>
              <a:round/>
            </a:ln>
            <a:effectLst/>
          </c:spPr>
          <c:marker>
            <c:symbol val="none"/>
          </c:marker>
          <c:xVal>
            <c:numRef>
              <c:f>Feuil1!$C$44:$J$44</c:f>
              <c:numCache>
                <c:formatCode>General</c:formatCode>
                <c:ptCount val="8"/>
                <c:pt idx="0">
                  <c:v>39</c:v>
                </c:pt>
                <c:pt idx="1">
                  <c:v>51</c:v>
                </c:pt>
                <c:pt idx="2">
                  <c:v>66</c:v>
                </c:pt>
                <c:pt idx="3">
                  <c:v>81</c:v>
                </c:pt>
                <c:pt idx="4">
                  <c:v>96</c:v>
                </c:pt>
                <c:pt idx="5">
                  <c:v>108</c:v>
                </c:pt>
                <c:pt idx="6">
                  <c:v>123</c:v>
                </c:pt>
                <c:pt idx="7">
                  <c:v>138</c:v>
                </c:pt>
              </c:numCache>
            </c:numRef>
          </c:xVal>
          <c:yVal>
            <c:numRef>
              <c:f>Feuil1!$C$45:$J$45</c:f>
              <c:numCache>
                <c:formatCode>General</c:formatCode>
                <c:ptCount val="8"/>
                <c:pt idx="0">
                  <c:v>4.2</c:v>
                </c:pt>
                <c:pt idx="1">
                  <c:v>4.9000000000000004</c:v>
                </c:pt>
                <c:pt idx="2">
                  <c:v>5.7</c:v>
                </c:pt>
                <c:pt idx="3">
                  <c:v>6.2</c:v>
                </c:pt>
                <c:pt idx="4">
                  <c:v>6.8</c:v>
                </c:pt>
                <c:pt idx="5">
                  <c:v>7.1</c:v>
                </c:pt>
                <c:pt idx="6">
                  <c:v>7.5</c:v>
                </c:pt>
                <c:pt idx="7">
                  <c:v>7.9</c:v>
                </c:pt>
              </c:numCache>
            </c:numRef>
          </c:yVal>
          <c:smooth val="1"/>
          <c:extLst>
            <c:ext xmlns:c16="http://schemas.microsoft.com/office/drawing/2014/chart" uri="{C3380CC4-5D6E-409C-BE32-E72D297353CC}">
              <c16:uniqueId val="{00000004-02BC-472A-86DA-122966DEB53D}"/>
            </c:ext>
          </c:extLst>
        </c:ser>
        <c:dLbls>
          <c:showLegendKey val="0"/>
          <c:showVal val="0"/>
          <c:showCatName val="0"/>
          <c:showSerName val="0"/>
          <c:showPercent val="0"/>
          <c:showBubbleSize val="0"/>
        </c:dLbls>
        <c:axId val="781521264"/>
        <c:axId val="781523560"/>
      </c:scatterChart>
      <c:valAx>
        <c:axId val="781521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81523560"/>
        <c:crosses val="autoZero"/>
        <c:crossBetween val="midCat"/>
      </c:valAx>
      <c:valAx>
        <c:axId val="781523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8152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checked="Checked" firstButton="1" fmlaLink="$I$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5" Type="http://schemas.openxmlformats.org/officeDocument/2006/relationships/image" Target="../media/image1.png"/><Relationship Id="rId4" Type="http://schemas.openxmlformats.org/officeDocument/2006/relationships/image" Target="../media/image1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42</xdr:col>
      <xdr:colOff>38101</xdr:colOff>
      <xdr:row>0</xdr:row>
      <xdr:rowOff>0</xdr:rowOff>
    </xdr:from>
    <xdr:to>
      <xdr:col>78</xdr:col>
      <xdr:colOff>62141</xdr:colOff>
      <xdr:row>4</xdr:row>
      <xdr:rowOff>159404</xdr:rowOff>
    </xdr:to>
    <xdr:pic>
      <xdr:nvPicPr>
        <xdr:cNvPr id="2" name="Picture 9" descr="schneider_LIO_Life-Green_RG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0572751" y="0"/>
          <a:ext cx="3357790" cy="921404"/>
        </a:xfrm>
        <a:prstGeom prst="rect">
          <a:avLst/>
        </a:prstGeom>
        <a:solidFill>
          <a:schemeClr val="bg1"/>
        </a:solidFill>
      </xdr:spPr>
    </xdr:pic>
    <xdr:clientData/>
  </xdr:twoCellAnchor>
  <xdr:twoCellAnchor>
    <xdr:from>
      <xdr:col>62</xdr:col>
      <xdr:colOff>9347</xdr:colOff>
      <xdr:row>29</xdr:row>
      <xdr:rowOff>187985</xdr:rowOff>
    </xdr:from>
    <xdr:to>
      <xdr:col>63</xdr:col>
      <xdr:colOff>92299</xdr:colOff>
      <xdr:row>31</xdr:row>
      <xdr:rowOff>4985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449356" y="6283985"/>
          <a:ext cx="180000" cy="198000"/>
        </a:xfrm>
        <a:prstGeom prst="ellipse">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60</xdr:col>
      <xdr:colOff>10785</xdr:colOff>
      <xdr:row>29</xdr:row>
      <xdr:rowOff>185828</xdr:rowOff>
    </xdr:from>
    <xdr:to>
      <xdr:col>61</xdr:col>
      <xdr:colOff>93738</xdr:colOff>
      <xdr:row>31</xdr:row>
      <xdr:rowOff>2828</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256700" y="6281828"/>
          <a:ext cx="180000" cy="198000"/>
        </a:xfrm>
        <a:prstGeom prst="ellipse">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61</xdr:col>
      <xdr:colOff>12228</xdr:colOff>
      <xdr:row>28</xdr:row>
      <xdr:rowOff>187268</xdr:rowOff>
    </xdr:from>
    <xdr:to>
      <xdr:col>62</xdr:col>
      <xdr:colOff>95181</xdr:colOff>
      <xdr:row>30</xdr:row>
      <xdr:rowOff>4268</xdr:rowOff>
    </xdr:to>
    <xdr:sp macro="" textlink="">
      <xdr:nvSpPr>
        <xdr:cNvPr id="5" name="Ellipse 4">
          <a:extLst>
            <a:ext uri="{FF2B5EF4-FFF2-40B4-BE49-F238E27FC236}">
              <a16:creationId xmlns:a16="http://schemas.microsoft.com/office/drawing/2014/main" id="{00000000-0008-0000-0000-000005000000}"/>
            </a:ext>
          </a:extLst>
        </xdr:cNvPr>
        <xdr:cNvSpPr/>
      </xdr:nvSpPr>
      <xdr:spPr>
        <a:xfrm>
          <a:off x="12355190" y="6092768"/>
          <a:ext cx="180000" cy="198000"/>
        </a:xfrm>
        <a:prstGeom prst="ellipse">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62</xdr:col>
      <xdr:colOff>7196</xdr:colOff>
      <xdr:row>31</xdr:row>
      <xdr:rowOff>185830</xdr:rowOff>
    </xdr:from>
    <xdr:to>
      <xdr:col>63</xdr:col>
      <xdr:colOff>90148</xdr:colOff>
      <xdr:row>33</xdr:row>
      <xdr:rowOff>2830</xdr:rowOff>
    </xdr:to>
    <xdr:sp macro="" textlink="">
      <xdr:nvSpPr>
        <xdr:cNvPr id="6" name="Ellipse 5">
          <a:extLst>
            <a:ext uri="{FF2B5EF4-FFF2-40B4-BE49-F238E27FC236}">
              <a16:creationId xmlns:a16="http://schemas.microsoft.com/office/drawing/2014/main" id="{00000000-0008-0000-0000-000006000000}"/>
            </a:ext>
          </a:extLst>
        </xdr:cNvPr>
        <xdr:cNvSpPr/>
      </xdr:nvSpPr>
      <xdr:spPr>
        <a:xfrm>
          <a:off x="12447205" y="6662830"/>
          <a:ext cx="180000" cy="198000"/>
        </a:xfrm>
        <a:prstGeom prst="ellipse">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60</xdr:col>
      <xdr:colOff>8634</xdr:colOff>
      <xdr:row>31</xdr:row>
      <xdr:rowOff>183673</xdr:rowOff>
    </xdr:from>
    <xdr:to>
      <xdr:col>61</xdr:col>
      <xdr:colOff>91587</xdr:colOff>
      <xdr:row>33</xdr:row>
      <xdr:rowOff>673</xdr:rowOff>
    </xdr:to>
    <xdr:sp macro="" textlink="">
      <xdr:nvSpPr>
        <xdr:cNvPr id="7" name="Ellipse 6">
          <a:extLst>
            <a:ext uri="{FF2B5EF4-FFF2-40B4-BE49-F238E27FC236}">
              <a16:creationId xmlns:a16="http://schemas.microsoft.com/office/drawing/2014/main" id="{00000000-0008-0000-0000-000007000000}"/>
            </a:ext>
          </a:extLst>
        </xdr:cNvPr>
        <xdr:cNvSpPr/>
      </xdr:nvSpPr>
      <xdr:spPr>
        <a:xfrm>
          <a:off x="12254549" y="6660673"/>
          <a:ext cx="180000" cy="198000"/>
        </a:xfrm>
        <a:prstGeom prst="ellipse">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61</xdr:col>
      <xdr:colOff>10077</xdr:colOff>
      <xdr:row>30</xdr:row>
      <xdr:rowOff>185113</xdr:rowOff>
    </xdr:from>
    <xdr:to>
      <xdr:col>62</xdr:col>
      <xdr:colOff>93030</xdr:colOff>
      <xdr:row>32</xdr:row>
      <xdr:rowOff>2113</xdr:rowOff>
    </xdr:to>
    <xdr:sp macro="" textlink="">
      <xdr:nvSpPr>
        <xdr:cNvPr id="8" name="Ellipse 7">
          <a:extLst>
            <a:ext uri="{FF2B5EF4-FFF2-40B4-BE49-F238E27FC236}">
              <a16:creationId xmlns:a16="http://schemas.microsoft.com/office/drawing/2014/main" id="{00000000-0008-0000-0000-000008000000}"/>
            </a:ext>
          </a:extLst>
        </xdr:cNvPr>
        <xdr:cNvSpPr/>
      </xdr:nvSpPr>
      <xdr:spPr>
        <a:xfrm>
          <a:off x="12353039" y="6471613"/>
          <a:ext cx="180000" cy="198000"/>
        </a:xfrm>
        <a:prstGeom prst="ellipse">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62</xdr:col>
      <xdr:colOff>8635</xdr:colOff>
      <xdr:row>28</xdr:row>
      <xdr:rowOff>371</xdr:rowOff>
    </xdr:from>
    <xdr:to>
      <xdr:col>63</xdr:col>
      <xdr:colOff>91587</xdr:colOff>
      <xdr:row>29</xdr:row>
      <xdr:rowOff>7871</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12448644" y="5905871"/>
          <a:ext cx="180000" cy="198000"/>
        </a:xfrm>
        <a:prstGeom prst="ellipse">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60</xdr:col>
      <xdr:colOff>10073</xdr:colOff>
      <xdr:row>27</xdr:row>
      <xdr:rowOff>188714</xdr:rowOff>
    </xdr:from>
    <xdr:to>
      <xdr:col>61</xdr:col>
      <xdr:colOff>93026</xdr:colOff>
      <xdr:row>29</xdr:row>
      <xdr:rowOff>5714</xdr:rowOff>
    </xdr:to>
    <xdr:sp macro="" textlink="">
      <xdr:nvSpPr>
        <xdr:cNvPr id="10" name="Ellipse 9">
          <a:extLst>
            <a:ext uri="{FF2B5EF4-FFF2-40B4-BE49-F238E27FC236}">
              <a16:creationId xmlns:a16="http://schemas.microsoft.com/office/drawing/2014/main" id="{00000000-0008-0000-0000-00000A000000}"/>
            </a:ext>
          </a:extLst>
        </xdr:cNvPr>
        <xdr:cNvSpPr/>
      </xdr:nvSpPr>
      <xdr:spPr>
        <a:xfrm>
          <a:off x="12255988" y="5903714"/>
          <a:ext cx="180000" cy="198000"/>
        </a:xfrm>
        <a:prstGeom prst="ellipse">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61</xdr:col>
      <xdr:colOff>11516</xdr:colOff>
      <xdr:row>26</xdr:row>
      <xdr:rowOff>190154</xdr:rowOff>
    </xdr:from>
    <xdr:to>
      <xdr:col>62</xdr:col>
      <xdr:colOff>94469</xdr:colOff>
      <xdr:row>28</xdr:row>
      <xdr:rowOff>7154</xdr:rowOff>
    </xdr:to>
    <xdr:sp macro="" textlink="">
      <xdr:nvSpPr>
        <xdr:cNvPr id="11" name="Ellipse 10">
          <a:extLst>
            <a:ext uri="{FF2B5EF4-FFF2-40B4-BE49-F238E27FC236}">
              <a16:creationId xmlns:a16="http://schemas.microsoft.com/office/drawing/2014/main" id="{00000000-0008-0000-0000-00000B000000}"/>
            </a:ext>
          </a:extLst>
        </xdr:cNvPr>
        <xdr:cNvSpPr/>
      </xdr:nvSpPr>
      <xdr:spPr>
        <a:xfrm>
          <a:off x="12354478" y="5714654"/>
          <a:ext cx="180000" cy="198000"/>
        </a:xfrm>
        <a:prstGeom prst="ellipse">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59</xdr:col>
      <xdr:colOff>5767</xdr:colOff>
      <xdr:row>28</xdr:row>
      <xdr:rowOff>187616</xdr:rowOff>
    </xdr:from>
    <xdr:to>
      <xdr:col>60</xdr:col>
      <xdr:colOff>88720</xdr:colOff>
      <xdr:row>30</xdr:row>
      <xdr:rowOff>4616</xdr:rowOff>
    </xdr:to>
    <xdr:sp macro="" textlink="">
      <xdr:nvSpPr>
        <xdr:cNvPr id="12" name="Ellipse 11">
          <a:extLst>
            <a:ext uri="{FF2B5EF4-FFF2-40B4-BE49-F238E27FC236}">
              <a16:creationId xmlns:a16="http://schemas.microsoft.com/office/drawing/2014/main" id="{00000000-0008-0000-0000-00000C000000}"/>
            </a:ext>
          </a:extLst>
        </xdr:cNvPr>
        <xdr:cNvSpPr/>
      </xdr:nvSpPr>
      <xdr:spPr>
        <a:xfrm>
          <a:off x="12154635" y="6093116"/>
          <a:ext cx="180000" cy="198000"/>
        </a:xfrm>
        <a:prstGeom prst="ellipse">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57</xdr:col>
      <xdr:colOff>7205</xdr:colOff>
      <xdr:row>28</xdr:row>
      <xdr:rowOff>185459</xdr:rowOff>
    </xdr:from>
    <xdr:to>
      <xdr:col>58</xdr:col>
      <xdr:colOff>90158</xdr:colOff>
      <xdr:row>30</xdr:row>
      <xdr:rowOff>2459</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1961979" y="6090959"/>
          <a:ext cx="180000" cy="198000"/>
        </a:xfrm>
        <a:prstGeom prst="ellipse">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58</xdr:col>
      <xdr:colOff>8648</xdr:colOff>
      <xdr:row>27</xdr:row>
      <xdr:rowOff>186899</xdr:rowOff>
    </xdr:from>
    <xdr:to>
      <xdr:col>59</xdr:col>
      <xdr:colOff>91601</xdr:colOff>
      <xdr:row>29</xdr:row>
      <xdr:rowOff>3899</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060469" y="5901899"/>
          <a:ext cx="180000" cy="198000"/>
        </a:xfrm>
        <a:prstGeom prst="ellipse">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59</xdr:col>
      <xdr:colOff>7196</xdr:colOff>
      <xdr:row>30</xdr:row>
      <xdr:rowOff>185825</xdr:rowOff>
    </xdr:from>
    <xdr:to>
      <xdr:col>60</xdr:col>
      <xdr:colOff>90149</xdr:colOff>
      <xdr:row>32</xdr:row>
      <xdr:rowOff>2825</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12156064" y="6472325"/>
          <a:ext cx="180000" cy="198000"/>
        </a:xfrm>
        <a:prstGeom prst="ellipse">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57</xdr:col>
      <xdr:colOff>8634</xdr:colOff>
      <xdr:row>30</xdr:row>
      <xdr:rowOff>183668</xdr:rowOff>
    </xdr:from>
    <xdr:to>
      <xdr:col>58</xdr:col>
      <xdr:colOff>91587</xdr:colOff>
      <xdr:row>32</xdr:row>
      <xdr:rowOff>668</xdr:rowOff>
    </xdr:to>
    <xdr:sp macro="" textlink="">
      <xdr:nvSpPr>
        <xdr:cNvPr id="16" name="Ellipse 15">
          <a:extLst>
            <a:ext uri="{FF2B5EF4-FFF2-40B4-BE49-F238E27FC236}">
              <a16:creationId xmlns:a16="http://schemas.microsoft.com/office/drawing/2014/main" id="{00000000-0008-0000-0000-000010000000}"/>
            </a:ext>
          </a:extLst>
        </xdr:cNvPr>
        <xdr:cNvSpPr/>
      </xdr:nvSpPr>
      <xdr:spPr>
        <a:xfrm>
          <a:off x="11963408" y="6470168"/>
          <a:ext cx="180000" cy="198000"/>
        </a:xfrm>
        <a:prstGeom prst="ellipse">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58</xdr:col>
      <xdr:colOff>10077</xdr:colOff>
      <xdr:row>29</xdr:row>
      <xdr:rowOff>185108</xdr:rowOff>
    </xdr:from>
    <xdr:to>
      <xdr:col>59</xdr:col>
      <xdr:colOff>93030</xdr:colOff>
      <xdr:row>31</xdr:row>
      <xdr:rowOff>2108</xdr:rowOff>
    </xdr:to>
    <xdr:sp macro="" textlink="">
      <xdr:nvSpPr>
        <xdr:cNvPr id="17" name="Ellipse 16">
          <a:extLst>
            <a:ext uri="{FF2B5EF4-FFF2-40B4-BE49-F238E27FC236}">
              <a16:creationId xmlns:a16="http://schemas.microsoft.com/office/drawing/2014/main" id="{00000000-0008-0000-0000-000011000000}"/>
            </a:ext>
          </a:extLst>
        </xdr:cNvPr>
        <xdr:cNvSpPr/>
      </xdr:nvSpPr>
      <xdr:spPr>
        <a:xfrm>
          <a:off x="12061898" y="6281108"/>
          <a:ext cx="180000" cy="198000"/>
        </a:xfrm>
        <a:prstGeom prst="ellipse">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58</xdr:col>
      <xdr:colOff>7926</xdr:colOff>
      <xdr:row>31</xdr:row>
      <xdr:rowOff>182953</xdr:rowOff>
    </xdr:from>
    <xdr:to>
      <xdr:col>59</xdr:col>
      <xdr:colOff>90879</xdr:colOff>
      <xdr:row>32</xdr:row>
      <xdr:rowOff>190453</xdr:rowOff>
    </xdr:to>
    <xdr:sp macro="" textlink="">
      <xdr:nvSpPr>
        <xdr:cNvPr id="18" name="Ellipse 17">
          <a:extLst>
            <a:ext uri="{FF2B5EF4-FFF2-40B4-BE49-F238E27FC236}">
              <a16:creationId xmlns:a16="http://schemas.microsoft.com/office/drawing/2014/main" id="{00000000-0008-0000-0000-000012000000}"/>
            </a:ext>
          </a:extLst>
        </xdr:cNvPr>
        <xdr:cNvSpPr/>
      </xdr:nvSpPr>
      <xdr:spPr>
        <a:xfrm>
          <a:off x="12059747" y="6659953"/>
          <a:ext cx="180000" cy="198000"/>
        </a:xfrm>
        <a:prstGeom prst="ellipse">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56</xdr:col>
      <xdr:colOff>3617</xdr:colOff>
      <xdr:row>29</xdr:row>
      <xdr:rowOff>185456</xdr:rowOff>
    </xdr:from>
    <xdr:to>
      <xdr:col>57</xdr:col>
      <xdr:colOff>86569</xdr:colOff>
      <xdr:row>31</xdr:row>
      <xdr:rowOff>2456</xdr:rowOff>
    </xdr:to>
    <xdr:sp macro="" textlink="">
      <xdr:nvSpPr>
        <xdr:cNvPr id="19" name="Ellipse 18">
          <a:extLst>
            <a:ext uri="{FF2B5EF4-FFF2-40B4-BE49-F238E27FC236}">
              <a16:creationId xmlns:a16="http://schemas.microsoft.com/office/drawing/2014/main" id="{00000000-0008-0000-0000-000013000000}"/>
            </a:ext>
          </a:extLst>
        </xdr:cNvPr>
        <xdr:cNvSpPr/>
      </xdr:nvSpPr>
      <xdr:spPr>
        <a:xfrm>
          <a:off x="11861343" y="6281456"/>
          <a:ext cx="180000" cy="198000"/>
        </a:xfrm>
        <a:prstGeom prst="ellipse">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61</xdr:col>
      <xdr:colOff>76813</xdr:colOff>
      <xdr:row>30</xdr:row>
      <xdr:rowOff>12291</xdr:rowOff>
    </xdr:from>
    <xdr:to>
      <xdr:col>62</xdr:col>
      <xdr:colOff>33797</xdr:colOff>
      <xdr:row>30</xdr:row>
      <xdr:rowOff>58010</xdr:rowOff>
    </xdr:to>
    <xdr:sp macro="" textlink="">
      <xdr:nvSpPr>
        <xdr:cNvPr id="20" name="Triangle isocèle 19">
          <a:extLst>
            <a:ext uri="{FF2B5EF4-FFF2-40B4-BE49-F238E27FC236}">
              <a16:creationId xmlns:a16="http://schemas.microsoft.com/office/drawing/2014/main" id="{00000000-0008-0000-0000-000014000000}"/>
            </a:ext>
          </a:extLst>
        </xdr:cNvPr>
        <xdr:cNvSpPr/>
      </xdr:nvSpPr>
      <xdr:spPr>
        <a:xfrm rot="10800000">
          <a:off x="12330265" y="6298791"/>
          <a:ext cx="52234" cy="45719"/>
        </a:xfrm>
        <a:prstGeom prst="triangl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59</xdr:col>
      <xdr:colOff>72512</xdr:colOff>
      <xdr:row>30</xdr:row>
      <xdr:rowOff>14135</xdr:rowOff>
    </xdr:from>
    <xdr:to>
      <xdr:col>60</xdr:col>
      <xdr:colOff>29496</xdr:colOff>
      <xdr:row>30</xdr:row>
      <xdr:rowOff>59854</xdr:rowOff>
    </xdr:to>
    <xdr:sp macro="" textlink="">
      <xdr:nvSpPr>
        <xdr:cNvPr id="21" name="Triangle isocèle 20">
          <a:extLst>
            <a:ext uri="{FF2B5EF4-FFF2-40B4-BE49-F238E27FC236}">
              <a16:creationId xmlns:a16="http://schemas.microsoft.com/office/drawing/2014/main" id="{00000000-0008-0000-0000-000015000000}"/>
            </a:ext>
          </a:extLst>
        </xdr:cNvPr>
        <xdr:cNvSpPr/>
      </xdr:nvSpPr>
      <xdr:spPr>
        <a:xfrm rot="10800000">
          <a:off x="12135464" y="6300635"/>
          <a:ext cx="52234" cy="45719"/>
        </a:xfrm>
        <a:prstGeom prst="triangl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65902</xdr:colOff>
      <xdr:row>10</xdr:row>
      <xdr:rowOff>75952</xdr:rowOff>
    </xdr:to>
    <xdr:pic>
      <xdr:nvPicPr>
        <xdr:cNvPr id="2" name="Imag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6180952" cy="1980952"/>
        </a:xfrm>
        <a:prstGeom prst="rect">
          <a:avLst/>
        </a:prstGeom>
      </xdr:spPr>
    </xdr:pic>
    <xdr:clientData/>
  </xdr:twoCellAnchor>
  <xdr:twoCellAnchor editAs="oneCell">
    <xdr:from>
      <xdr:col>0</xdr:col>
      <xdr:colOff>0</xdr:colOff>
      <xdr:row>29</xdr:row>
      <xdr:rowOff>0</xdr:rowOff>
    </xdr:from>
    <xdr:to>
      <xdr:col>9</xdr:col>
      <xdr:colOff>8759</xdr:colOff>
      <xdr:row>38</xdr:row>
      <xdr:rowOff>9310</xdr:rowOff>
    </xdr:to>
    <xdr:pic>
      <xdr:nvPicPr>
        <xdr:cNvPr id="3" name="Imag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a:stretch>
          <a:fillRect/>
        </a:stretch>
      </xdr:blipFill>
      <xdr:spPr>
        <a:xfrm>
          <a:off x="0" y="5524500"/>
          <a:ext cx="6123809" cy="172381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3</xdr:col>
      <xdr:colOff>230978</xdr:colOff>
      <xdr:row>2</xdr:row>
      <xdr:rowOff>66675</xdr:rowOff>
    </xdr:from>
    <xdr:to>
      <xdr:col>3</xdr:col>
      <xdr:colOff>302978</xdr:colOff>
      <xdr:row>2</xdr:row>
      <xdr:rowOff>139011</xdr:rowOff>
    </xdr:to>
    <xdr:sp macro="" textlink="">
      <xdr:nvSpPr>
        <xdr:cNvPr id="2" name="Ellipse 1">
          <a:extLst>
            <a:ext uri="{FF2B5EF4-FFF2-40B4-BE49-F238E27FC236}">
              <a16:creationId xmlns:a16="http://schemas.microsoft.com/office/drawing/2014/main" id="{00000000-0008-0000-0E00-000002000000}"/>
            </a:ext>
          </a:extLst>
        </xdr:cNvPr>
        <xdr:cNvSpPr/>
      </xdr:nvSpPr>
      <xdr:spPr>
        <a:xfrm>
          <a:off x="3974303" y="638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76200</xdr:colOff>
      <xdr:row>2</xdr:row>
      <xdr:rowOff>66675</xdr:rowOff>
    </xdr:from>
    <xdr:to>
      <xdr:col>3</xdr:col>
      <xdr:colOff>148200</xdr:colOff>
      <xdr:row>2</xdr:row>
      <xdr:rowOff>139011</xdr:rowOff>
    </xdr:to>
    <xdr:sp macro="" textlink="">
      <xdr:nvSpPr>
        <xdr:cNvPr id="3" name="Ellipse 2">
          <a:extLst>
            <a:ext uri="{FF2B5EF4-FFF2-40B4-BE49-F238E27FC236}">
              <a16:creationId xmlns:a16="http://schemas.microsoft.com/office/drawing/2014/main" id="{00000000-0008-0000-0E00-000003000000}"/>
            </a:ext>
          </a:extLst>
        </xdr:cNvPr>
        <xdr:cNvSpPr/>
      </xdr:nvSpPr>
      <xdr:spPr>
        <a:xfrm>
          <a:off x="3819525" y="638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153589</xdr:colOff>
      <xdr:row>2</xdr:row>
      <xdr:rowOff>66675</xdr:rowOff>
    </xdr:from>
    <xdr:to>
      <xdr:col>3</xdr:col>
      <xdr:colOff>225589</xdr:colOff>
      <xdr:row>2</xdr:row>
      <xdr:rowOff>139011</xdr:rowOff>
    </xdr:to>
    <xdr:sp macro="" textlink="">
      <xdr:nvSpPr>
        <xdr:cNvPr id="4" name="Ellipse 3">
          <a:extLst>
            <a:ext uri="{FF2B5EF4-FFF2-40B4-BE49-F238E27FC236}">
              <a16:creationId xmlns:a16="http://schemas.microsoft.com/office/drawing/2014/main" id="{00000000-0008-0000-0E00-000004000000}"/>
            </a:ext>
          </a:extLst>
        </xdr:cNvPr>
        <xdr:cNvSpPr/>
      </xdr:nvSpPr>
      <xdr:spPr>
        <a:xfrm>
          <a:off x="3896914" y="638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305989</xdr:colOff>
      <xdr:row>2</xdr:row>
      <xdr:rowOff>66675</xdr:rowOff>
    </xdr:from>
    <xdr:to>
      <xdr:col>3</xdr:col>
      <xdr:colOff>377989</xdr:colOff>
      <xdr:row>2</xdr:row>
      <xdr:rowOff>139011</xdr:rowOff>
    </xdr:to>
    <xdr:sp macro="" textlink="">
      <xdr:nvSpPr>
        <xdr:cNvPr id="5" name="Ellipse 4">
          <a:extLst>
            <a:ext uri="{FF2B5EF4-FFF2-40B4-BE49-F238E27FC236}">
              <a16:creationId xmlns:a16="http://schemas.microsoft.com/office/drawing/2014/main" id="{00000000-0008-0000-0E00-000005000000}"/>
            </a:ext>
          </a:extLst>
        </xdr:cNvPr>
        <xdr:cNvSpPr/>
      </xdr:nvSpPr>
      <xdr:spPr>
        <a:xfrm>
          <a:off x="4049314" y="638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385759</xdr:colOff>
      <xdr:row>2</xdr:row>
      <xdr:rowOff>66675</xdr:rowOff>
    </xdr:from>
    <xdr:to>
      <xdr:col>3</xdr:col>
      <xdr:colOff>457759</xdr:colOff>
      <xdr:row>2</xdr:row>
      <xdr:rowOff>139011</xdr:rowOff>
    </xdr:to>
    <xdr:sp macro="" textlink="">
      <xdr:nvSpPr>
        <xdr:cNvPr id="6" name="Ellipse 5">
          <a:extLst>
            <a:ext uri="{FF2B5EF4-FFF2-40B4-BE49-F238E27FC236}">
              <a16:creationId xmlns:a16="http://schemas.microsoft.com/office/drawing/2014/main" id="{00000000-0008-0000-0E00-000006000000}"/>
            </a:ext>
          </a:extLst>
        </xdr:cNvPr>
        <xdr:cNvSpPr/>
      </xdr:nvSpPr>
      <xdr:spPr>
        <a:xfrm>
          <a:off x="4129084" y="638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461957</xdr:colOff>
      <xdr:row>2</xdr:row>
      <xdr:rowOff>66675</xdr:rowOff>
    </xdr:from>
    <xdr:to>
      <xdr:col>3</xdr:col>
      <xdr:colOff>533957</xdr:colOff>
      <xdr:row>2</xdr:row>
      <xdr:rowOff>139011</xdr:rowOff>
    </xdr:to>
    <xdr:sp macro="" textlink="">
      <xdr:nvSpPr>
        <xdr:cNvPr id="7" name="Ellipse 6">
          <a:extLst>
            <a:ext uri="{FF2B5EF4-FFF2-40B4-BE49-F238E27FC236}">
              <a16:creationId xmlns:a16="http://schemas.microsoft.com/office/drawing/2014/main" id="{00000000-0008-0000-0E00-000007000000}"/>
            </a:ext>
          </a:extLst>
        </xdr:cNvPr>
        <xdr:cNvSpPr/>
      </xdr:nvSpPr>
      <xdr:spPr>
        <a:xfrm>
          <a:off x="4205282" y="638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533392</xdr:colOff>
      <xdr:row>2</xdr:row>
      <xdr:rowOff>66675</xdr:rowOff>
    </xdr:from>
    <xdr:to>
      <xdr:col>3</xdr:col>
      <xdr:colOff>605392</xdr:colOff>
      <xdr:row>2</xdr:row>
      <xdr:rowOff>139011</xdr:rowOff>
    </xdr:to>
    <xdr:sp macro="" textlink="">
      <xdr:nvSpPr>
        <xdr:cNvPr id="8" name="Ellipse 7">
          <a:extLst>
            <a:ext uri="{FF2B5EF4-FFF2-40B4-BE49-F238E27FC236}">
              <a16:creationId xmlns:a16="http://schemas.microsoft.com/office/drawing/2014/main" id="{00000000-0008-0000-0E00-000008000000}"/>
            </a:ext>
          </a:extLst>
        </xdr:cNvPr>
        <xdr:cNvSpPr/>
      </xdr:nvSpPr>
      <xdr:spPr>
        <a:xfrm>
          <a:off x="4276717" y="638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609593</xdr:colOff>
      <xdr:row>2</xdr:row>
      <xdr:rowOff>66675</xdr:rowOff>
    </xdr:from>
    <xdr:to>
      <xdr:col>3</xdr:col>
      <xdr:colOff>681593</xdr:colOff>
      <xdr:row>2</xdr:row>
      <xdr:rowOff>139011</xdr:rowOff>
    </xdr:to>
    <xdr:sp macro="" textlink="">
      <xdr:nvSpPr>
        <xdr:cNvPr id="9" name="Ellipse 8">
          <a:extLst>
            <a:ext uri="{FF2B5EF4-FFF2-40B4-BE49-F238E27FC236}">
              <a16:creationId xmlns:a16="http://schemas.microsoft.com/office/drawing/2014/main" id="{00000000-0008-0000-0E00-000009000000}"/>
            </a:ext>
          </a:extLst>
        </xdr:cNvPr>
        <xdr:cNvSpPr/>
      </xdr:nvSpPr>
      <xdr:spPr>
        <a:xfrm>
          <a:off x="4352918" y="638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230978</xdr:colOff>
      <xdr:row>2</xdr:row>
      <xdr:rowOff>91672</xdr:rowOff>
    </xdr:from>
    <xdr:to>
      <xdr:col>5</xdr:col>
      <xdr:colOff>302978</xdr:colOff>
      <xdr:row>2</xdr:row>
      <xdr:rowOff>164008</xdr:rowOff>
    </xdr:to>
    <xdr:sp macro="" textlink="">
      <xdr:nvSpPr>
        <xdr:cNvPr id="10" name="Ellipse 9">
          <a:extLst>
            <a:ext uri="{FF2B5EF4-FFF2-40B4-BE49-F238E27FC236}">
              <a16:creationId xmlns:a16="http://schemas.microsoft.com/office/drawing/2014/main" id="{00000000-0008-0000-0E00-00000A000000}"/>
            </a:ext>
          </a:extLst>
        </xdr:cNvPr>
        <xdr:cNvSpPr/>
      </xdr:nvSpPr>
      <xdr:spPr>
        <a:xfrm>
          <a:off x="5984078" y="663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76200</xdr:colOff>
      <xdr:row>2</xdr:row>
      <xdr:rowOff>91672</xdr:rowOff>
    </xdr:from>
    <xdr:to>
      <xdr:col>5</xdr:col>
      <xdr:colOff>148200</xdr:colOff>
      <xdr:row>2</xdr:row>
      <xdr:rowOff>164008</xdr:rowOff>
    </xdr:to>
    <xdr:sp macro="" textlink="">
      <xdr:nvSpPr>
        <xdr:cNvPr id="11" name="Ellipse 10">
          <a:extLst>
            <a:ext uri="{FF2B5EF4-FFF2-40B4-BE49-F238E27FC236}">
              <a16:creationId xmlns:a16="http://schemas.microsoft.com/office/drawing/2014/main" id="{00000000-0008-0000-0E00-00000B000000}"/>
            </a:ext>
          </a:extLst>
        </xdr:cNvPr>
        <xdr:cNvSpPr/>
      </xdr:nvSpPr>
      <xdr:spPr>
        <a:xfrm>
          <a:off x="5829300" y="663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153589</xdr:colOff>
      <xdr:row>2</xdr:row>
      <xdr:rowOff>91672</xdr:rowOff>
    </xdr:from>
    <xdr:to>
      <xdr:col>5</xdr:col>
      <xdr:colOff>225589</xdr:colOff>
      <xdr:row>2</xdr:row>
      <xdr:rowOff>164008</xdr:rowOff>
    </xdr:to>
    <xdr:sp macro="" textlink="">
      <xdr:nvSpPr>
        <xdr:cNvPr id="12" name="Ellipse 11">
          <a:extLst>
            <a:ext uri="{FF2B5EF4-FFF2-40B4-BE49-F238E27FC236}">
              <a16:creationId xmlns:a16="http://schemas.microsoft.com/office/drawing/2014/main" id="{00000000-0008-0000-0E00-00000C000000}"/>
            </a:ext>
          </a:extLst>
        </xdr:cNvPr>
        <xdr:cNvSpPr/>
      </xdr:nvSpPr>
      <xdr:spPr>
        <a:xfrm>
          <a:off x="5906689" y="663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114299</xdr:colOff>
      <xdr:row>2</xdr:row>
      <xdr:rowOff>28575</xdr:rowOff>
    </xdr:from>
    <xdr:to>
      <xdr:col>5</xdr:col>
      <xdr:colOff>186299</xdr:colOff>
      <xdr:row>2</xdr:row>
      <xdr:rowOff>100911</xdr:rowOff>
    </xdr:to>
    <xdr:sp macro="" textlink="">
      <xdr:nvSpPr>
        <xdr:cNvPr id="13" name="Ellipse 12">
          <a:extLst>
            <a:ext uri="{FF2B5EF4-FFF2-40B4-BE49-F238E27FC236}">
              <a16:creationId xmlns:a16="http://schemas.microsoft.com/office/drawing/2014/main" id="{00000000-0008-0000-0E00-00000D000000}"/>
            </a:ext>
          </a:extLst>
        </xdr:cNvPr>
        <xdr:cNvSpPr/>
      </xdr:nvSpPr>
      <xdr:spPr>
        <a:xfrm>
          <a:off x="5867399" y="6000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191690</xdr:colOff>
      <xdr:row>2</xdr:row>
      <xdr:rowOff>28575</xdr:rowOff>
    </xdr:from>
    <xdr:to>
      <xdr:col>5</xdr:col>
      <xdr:colOff>263690</xdr:colOff>
      <xdr:row>2</xdr:row>
      <xdr:rowOff>100911</xdr:rowOff>
    </xdr:to>
    <xdr:sp macro="" textlink="">
      <xdr:nvSpPr>
        <xdr:cNvPr id="14" name="Ellipse 13">
          <a:extLst>
            <a:ext uri="{FF2B5EF4-FFF2-40B4-BE49-F238E27FC236}">
              <a16:creationId xmlns:a16="http://schemas.microsoft.com/office/drawing/2014/main" id="{00000000-0008-0000-0E00-00000E000000}"/>
            </a:ext>
          </a:extLst>
        </xdr:cNvPr>
        <xdr:cNvSpPr/>
      </xdr:nvSpPr>
      <xdr:spPr>
        <a:xfrm>
          <a:off x="5944790" y="6000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307178</xdr:colOff>
      <xdr:row>2</xdr:row>
      <xdr:rowOff>91672</xdr:rowOff>
    </xdr:from>
    <xdr:to>
      <xdr:col>5</xdr:col>
      <xdr:colOff>379178</xdr:colOff>
      <xdr:row>2</xdr:row>
      <xdr:rowOff>164008</xdr:rowOff>
    </xdr:to>
    <xdr:sp macro="" textlink="">
      <xdr:nvSpPr>
        <xdr:cNvPr id="15" name="Ellipse 14">
          <a:extLst>
            <a:ext uri="{FF2B5EF4-FFF2-40B4-BE49-F238E27FC236}">
              <a16:creationId xmlns:a16="http://schemas.microsoft.com/office/drawing/2014/main" id="{00000000-0008-0000-0E00-00000F000000}"/>
            </a:ext>
          </a:extLst>
        </xdr:cNvPr>
        <xdr:cNvSpPr/>
      </xdr:nvSpPr>
      <xdr:spPr>
        <a:xfrm>
          <a:off x="6060278" y="663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269078</xdr:colOff>
      <xdr:row>2</xdr:row>
      <xdr:rowOff>28700</xdr:rowOff>
    </xdr:from>
    <xdr:to>
      <xdr:col>5</xdr:col>
      <xdr:colOff>341078</xdr:colOff>
      <xdr:row>2</xdr:row>
      <xdr:rowOff>101036</xdr:rowOff>
    </xdr:to>
    <xdr:sp macro="" textlink="">
      <xdr:nvSpPr>
        <xdr:cNvPr id="16" name="Ellipse 15">
          <a:extLst>
            <a:ext uri="{FF2B5EF4-FFF2-40B4-BE49-F238E27FC236}">
              <a16:creationId xmlns:a16="http://schemas.microsoft.com/office/drawing/2014/main" id="{00000000-0008-0000-0E00-000010000000}"/>
            </a:ext>
          </a:extLst>
        </xdr:cNvPr>
        <xdr:cNvSpPr/>
      </xdr:nvSpPr>
      <xdr:spPr>
        <a:xfrm>
          <a:off x="6022178" y="60020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380997</xdr:colOff>
      <xdr:row>2</xdr:row>
      <xdr:rowOff>91672</xdr:rowOff>
    </xdr:from>
    <xdr:to>
      <xdr:col>5</xdr:col>
      <xdr:colOff>452997</xdr:colOff>
      <xdr:row>2</xdr:row>
      <xdr:rowOff>164008</xdr:rowOff>
    </xdr:to>
    <xdr:sp macro="" textlink="">
      <xdr:nvSpPr>
        <xdr:cNvPr id="17" name="Ellipse 16">
          <a:extLst>
            <a:ext uri="{FF2B5EF4-FFF2-40B4-BE49-F238E27FC236}">
              <a16:creationId xmlns:a16="http://schemas.microsoft.com/office/drawing/2014/main" id="{00000000-0008-0000-0E00-000011000000}"/>
            </a:ext>
          </a:extLst>
        </xdr:cNvPr>
        <xdr:cNvSpPr/>
      </xdr:nvSpPr>
      <xdr:spPr>
        <a:xfrm>
          <a:off x="6134097" y="663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230978</xdr:colOff>
      <xdr:row>6</xdr:row>
      <xdr:rowOff>66675</xdr:rowOff>
    </xdr:from>
    <xdr:to>
      <xdr:col>3</xdr:col>
      <xdr:colOff>302978</xdr:colOff>
      <xdr:row>6</xdr:row>
      <xdr:rowOff>139011</xdr:rowOff>
    </xdr:to>
    <xdr:sp macro="" textlink="">
      <xdr:nvSpPr>
        <xdr:cNvPr id="26" name="Ellipse 25">
          <a:extLst>
            <a:ext uri="{FF2B5EF4-FFF2-40B4-BE49-F238E27FC236}">
              <a16:creationId xmlns:a16="http://schemas.microsoft.com/office/drawing/2014/main" id="{00000000-0008-0000-0E00-00001A000000}"/>
            </a:ext>
          </a:extLst>
        </xdr:cNvPr>
        <xdr:cNvSpPr/>
      </xdr:nvSpPr>
      <xdr:spPr>
        <a:xfrm>
          <a:off x="3974303" y="1400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76200</xdr:colOff>
      <xdr:row>6</xdr:row>
      <xdr:rowOff>66675</xdr:rowOff>
    </xdr:from>
    <xdr:to>
      <xdr:col>3</xdr:col>
      <xdr:colOff>148200</xdr:colOff>
      <xdr:row>6</xdr:row>
      <xdr:rowOff>139011</xdr:rowOff>
    </xdr:to>
    <xdr:sp macro="" textlink="">
      <xdr:nvSpPr>
        <xdr:cNvPr id="27" name="Ellipse 26">
          <a:extLst>
            <a:ext uri="{FF2B5EF4-FFF2-40B4-BE49-F238E27FC236}">
              <a16:creationId xmlns:a16="http://schemas.microsoft.com/office/drawing/2014/main" id="{00000000-0008-0000-0E00-00001B000000}"/>
            </a:ext>
          </a:extLst>
        </xdr:cNvPr>
        <xdr:cNvSpPr/>
      </xdr:nvSpPr>
      <xdr:spPr>
        <a:xfrm>
          <a:off x="3819525" y="1400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153589</xdr:colOff>
      <xdr:row>6</xdr:row>
      <xdr:rowOff>66675</xdr:rowOff>
    </xdr:from>
    <xdr:to>
      <xdr:col>3</xdr:col>
      <xdr:colOff>225589</xdr:colOff>
      <xdr:row>6</xdr:row>
      <xdr:rowOff>139011</xdr:rowOff>
    </xdr:to>
    <xdr:sp macro="" textlink="">
      <xdr:nvSpPr>
        <xdr:cNvPr id="28" name="Ellipse 27">
          <a:extLst>
            <a:ext uri="{FF2B5EF4-FFF2-40B4-BE49-F238E27FC236}">
              <a16:creationId xmlns:a16="http://schemas.microsoft.com/office/drawing/2014/main" id="{00000000-0008-0000-0E00-00001C000000}"/>
            </a:ext>
          </a:extLst>
        </xdr:cNvPr>
        <xdr:cNvSpPr/>
      </xdr:nvSpPr>
      <xdr:spPr>
        <a:xfrm>
          <a:off x="3896914" y="1400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305989</xdr:colOff>
      <xdr:row>6</xdr:row>
      <xdr:rowOff>66675</xdr:rowOff>
    </xdr:from>
    <xdr:to>
      <xdr:col>3</xdr:col>
      <xdr:colOff>377989</xdr:colOff>
      <xdr:row>6</xdr:row>
      <xdr:rowOff>139011</xdr:rowOff>
    </xdr:to>
    <xdr:sp macro="" textlink="">
      <xdr:nvSpPr>
        <xdr:cNvPr id="29" name="Ellipse 28">
          <a:extLst>
            <a:ext uri="{FF2B5EF4-FFF2-40B4-BE49-F238E27FC236}">
              <a16:creationId xmlns:a16="http://schemas.microsoft.com/office/drawing/2014/main" id="{00000000-0008-0000-0E00-00001D000000}"/>
            </a:ext>
          </a:extLst>
        </xdr:cNvPr>
        <xdr:cNvSpPr/>
      </xdr:nvSpPr>
      <xdr:spPr>
        <a:xfrm>
          <a:off x="4049314" y="1400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385759</xdr:colOff>
      <xdr:row>6</xdr:row>
      <xdr:rowOff>66675</xdr:rowOff>
    </xdr:from>
    <xdr:to>
      <xdr:col>3</xdr:col>
      <xdr:colOff>457759</xdr:colOff>
      <xdr:row>6</xdr:row>
      <xdr:rowOff>139011</xdr:rowOff>
    </xdr:to>
    <xdr:sp macro="" textlink="">
      <xdr:nvSpPr>
        <xdr:cNvPr id="30" name="Ellipse 29">
          <a:extLst>
            <a:ext uri="{FF2B5EF4-FFF2-40B4-BE49-F238E27FC236}">
              <a16:creationId xmlns:a16="http://schemas.microsoft.com/office/drawing/2014/main" id="{00000000-0008-0000-0E00-00001E000000}"/>
            </a:ext>
          </a:extLst>
        </xdr:cNvPr>
        <xdr:cNvSpPr/>
      </xdr:nvSpPr>
      <xdr:spPr>
        <a:xfrm>
          <a:off x="4129084" y="1400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461957</xdr:colOff>
      <xdr:row>6</xdr:row>
      <xdr:rowOff>66675</xdr:rowOff>
    </xdr:from>
    <xdr:to>
      <xdr:col>3</xdr:col>
      <xdr:colOff>533957</xdr:colOff>
      <xdr:row>6</xdr:row>
      <xdr:rowOff>139011</xdr:rowOff>
    </xdr:to>
    <xdr:sp macro="" textlink="">
      <xdr:nvSpPr>
        <xdr:cNvPr id="31" name="Ellipse 30">
          <a:extLst>
            <a:ext uri="{FF2B5EF4-FFF2-40B4-BE49-F238E27FC236}">
              <a16:creationId xmlns:a16="http://schemas.microsoft.com/office/drawing/2014/main" id="{00000000-0008-0000-0E00-00001F000000}"/>
            </a:ext>
          </a:extLst>
        </xdr:cNvPr>
        <xdr:cNvSpPr/>
      </xdr:nvSpPr>
      <xdr:spPr>
        <a:xfrm>
          <a:off x="4205282" y="1400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533392</xdr:colOff>
      <xdr:row>6</xdr:row>
      <xdr:rowOff>66675</xdr:rowOff>
    </xdr:from>
    <xdr:to>
      <xdr:col>3</xdr:col>
      <xdr:colOff>605392</xdr:colOff>
      <xdr:row>6</xdr:row>
      <xdr:rowOff>139011</xdr:rowOff>
    </xdr:to>
    <xdr:sp macro="" textlink="">
      <xdr:nvSpPr>
        <xdr:cNvPr id="32" name="Ellipse 31">
          <a:extLst>
            <a:ext uri="{FF2B5EF4-FFF2-40B4-BE49-F238E27FC236}">
              <a16:creationId xmlns:a16="http://schemas.microsoft.com/office/drawing/2014/main" id="{00000000-0008-0000-0E00-000020000000}"/>
            </a:ext>
          </a:extLst>
        </xdr:cNvPr>
        <xdr:cNvSpPr/>
      </xdr:nvSpPr>
      <xdr:spPr>
        <a:xfrm>
          <a:off x="4276717" y="1400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609593</xdr:colOff>
      <xdr:row>6</xdr:row>
      <xdr:rowOff>66675</xdr:rowOff>
    </xdr:from>
    <xdr:to>
      <xdr:col>3</xdr:col>
      <xdr:colOff>681593</xdr:colOff>
      <xdr:row>6</xdr:row>
      <xdr:rowOff>139011</xdr:rowOff>
    </xdr:to>
    <xdr:sp macro="" textlink="">
      <xdr:nvSpPr>
        <xdr:cNvPr id="33" name="Ellipse 32">
          <a:extLst>
            <a:ext uri="{FF2B5EF4-FFF2-40B4-BE49-F238E27FC236}">
              <a16:creationId xmlns:a16="http://schemas.microsoft.com/office/drawing/2014/main" id="{00000000-0008-0000-0E00-000021000000}"/>
            </a:ext>
          </a:extLst>
        </xdr:cNvPr>
        <xdr:cNvSpPr/>
      </xdr:nvSpPr>
      <xdr:spPr>
        <a:xfrm>
          <a:off x="4352918" y="1400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230978</xdr:colOff>
      <xdr:row>10</xdr:row>
      <xdr:rowOff>66675</xdr:rowOff>
    </xdr:from>
    <xdr:to>
      <xdr:col>3</xdr:col>
      <xdr:colOff>302978</xdr:colOff>
      <xdr:row>10</xdr:row>
      <xdr:rowOff>139011</xdr:rowOff>
    </xdr:to>
    <xdr:sp macro="" textlink="">
      <xdr:nvSpPr>
        <xdr:cNvPr id="34" name="Ellipse 33">
          <a:extLst>
            <a:ext uri="{FF2B5EF4-FFF2-40B4-BE49-F238E27FC236}">
              <a16:creationId xmlns:a16="http://schemas.microsoft.com/office/drawing/2014/main" id="{00000000-0008-0000-0E00-000022000000}"/>
            </a:ext>
          </a:extLst>
        </xdr:cNvPr>
        <xdr:cNvSpPr/>
      </xdr:nvSpPr>
      <xdr:spPr>
        <a:xfrm>
          <a:off x="3974303" y="2162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76200</xdr:colOff>
      <xdr:row>10</xdr:row>
      <xdr:rowOff>66675</xdr:rowOff>
    </xdr:from>
    <xdr:to>
      <xdr:col>3</xdr:col>
      <xdr:colOff>148200</xdr:colOff>
      <xdr:row>10</xdr:row>
      <xdr:rowOff>139011</xdr:rowOff>
    </xdr:to>
    <xdr:sp macro="" textlink="">
      <xdr:nvSpPr>
        <xdr:cNvPr id="35" name="Ellipse 34">
          <a:extLst>
            <a:ext uri="{FF2B5EF4-FFF2-40B4-BE49-F238E27FC236}">
              <a16:creationId xmlns:a16="http://schemas.microsoft.com/office/drawing/2014/main" id="{00000000-0008-0000-0E00-000023000000}"/>
            </a:ext>
          </a:extLst>
        </xdr:cNvPr>
        <xdr:cNvSpPr/>
      </xdr:nvSpPr>
      <xdr:spPr>
        <a:xfrm>
          <a:off x="3819525" y="2162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153589</xdr:colOff>
      <xdr:row>10</xdr:row>
      <xdr:rowOff>66675</xdr:rowOff>
    </xdr:from>
    <xdr:to>
      <xdr:col>3</xdr:col>
      <xdr:colOff>225589</xdr:colOff>
      <xdr:row>10</xdr:row>
      <xdr:rowOff>139011</xdr:rowOff>
    </xdr:to>
    <xdr:sp macro="" textlink="">
      <xdr:nvSpPr>
        <xdr:cNvPr id="36" name="Ellipse 35">
          <a:extLst>
            <a:ext uri="{FF2B5EF4-FFF2-40B4-BE49-F238E27FC236}">
              <a16:creationId xmlns:a16="http://schemas.microsoft.com/office/drawing/2014/main" id="{00000000-0008-0000-0E00-000024000000}"/>
            </a:ext>
          </a:extLst>
        </xdr:cNvPr>
        <xdr:cNvSpPr/>
      </xdr:nvSpPr>
      <xdr:spPr>
        <a:xfrm>
          <a:off x="3896914" y="2162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305989</xdr:colOff>
      <xdr:row>10</xdr:row>
      <xdr:rowOff>66675</xdr:rowOff>
    </xdr:from>
    <xdr:to>
      <xdr:col>3</xdr:col>
      <xdr:colOff>377989</xdr:colOff>
      <xdr:row>10</xdr:row>
      <xdr:rowOff>139011</xdr:rowOff>
    </xdr:to>
    <xdr:sp macro="" textlink="">
      <xdr:nvSpPr>
        <xdr:cNvPr id="37" name="Ellipse 36">
          <a:extLst>
            <a:ext uri="{FF2B5EF4-FFF2-40B4-BE49-F238E27FC236}">
              <a16:creationId xmlns:a16="http://schemas.microsoft.com/office/drawing/2014/main" id="{00000000-0008-0000-0E00-000025000000}"/>
            </a:ext>
          </a:extLst>
        </xdr:cNvPr>
        <xdr:cNvSpPr/>
      </xdr:nvSpPr>
      <xdr:spPr>
        <a:xfrm>
          <a:off x="4049314" y="2162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385759</xdr:colOff>
      <xdr:row>10</xdr:row>
      <xdr:rowOff>66675</xdr:rowOff>
    </xdr:from>
    <xdr:to>
      <xdr:col>3</xdr:col>
      <xdr:colOff>457759</xdr:colOff>
      <xdr:row>10</xdr:row>
      <xdr:rowOff>139011</xdr:rowOff>
    </xdr:to>
    <xdr:sp macro="" textlink="">
      <xdr:nvSpPr>
        <xdr:cNvPr id="38" name="Ellipse 37">
          <a:extLst>
            <a:ext uri="{FF2B5EF4-FFF2-40B4-BE49-F238E27FC236}">
              <a16:creationId xmlns:a16="http://schemas.microsoft.com/office/drawing/2014/main" id="{00000000-0008-0000-0E00-000026000000}"/>
            </a:ext>
          </a:extLst>
        </xdr:cNvPr>
        <xdr:cNvSpPr/>
      </xdr:nvSpPr>
      <xdr:spPr>
        <a:xfrm>
          <a:off x="4129084" y="2162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461957</xdr:colOff>
      <xdr:row>10</xdr:row>
      <xdr:rowOff>66675</xdr:rowOff>
    </xdr:from>
    <xdr:to>
      <xdr:col>3</xdr:col>
      <xdr:colOff>533957</xdr:colOff>
      <xdr:row>10</xdr:row>
      <xdr:rowOff>139011</xdr:rowOff>
    </xdr:to>
    <xdr:sp macro="" textlink="">
      <xdr:nvSpPr>
        <xdr:cNvPr id="39" name="Ellipse 38">
          <a:extLst>
            <a:ext uri="{FF2B5EF4-FFF2-40B4-BE49-F238E27FC236}">
              <a16:creationId xmlns:a16="http://schemas.microsoft.com/office/drawing/2014/main" id="{00000000-0008-0000-0E00-000027000000}"/>
            </a:ext>
          </a:extLst>
        </xdr:cNvPr>
        <xdr:cNvSpPr/>
      </xdr:nvSpPr>
      <xdr:spPr>
        <a:xfrm>
          <a:off x="4205282" y="2162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533392</xdr:colOff>
      <xdr:row>10</xdr:row>
      <xdr:rowOff>66675</xdr:rowOff>
    </xdr:from>
    <xdr:to>
      <xdr:col>3</xdr:col>
      <xdr:colOff>605392</xdr:colOff>
      <xdr:row>10</xdr:row>
      <xdr:rowOff>139011</xdr:rowOff>
    </xdr:to>
    <xdr:sp macro="" textlink="">
      <xdr:nvSpPr>
        <xdr:cNvPr id="40" name="Ellipse 39">
          <a:extLst>
            <a:ext uri="{FF2B5EF4-FFF2-40B4-BE49-F238E27FC236}">
              <a16:creationId xmlns:a16="http://schemas.microsoft.com/office/drawing/2014/main" id="{00000000-0008-0000-0E00-000028000000}"/>
            </a:ext>
          </a:extLst>
        </xdr:cNvPr>
        <xdr:cNvSpPr/>
      </xdr:nvSpPr>
      <xdr:spPr>
        <a:xfrm>
          <a:off x="4276717" y="2162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609593</xdr:colOff>
      <xdr:row>10</xdr:row>
      <xdr:rowOff>66675</xdr:rowOff>
    </xdr:from>
    <xdr:to>
      <xdr:col>3</xdr:col>
      <xdr:colOff>681593</xdr:colOff>
      <xdr:row>10</xdr:row>
      <xdr:rowOff>139011</xdr:rowOff>
    </xdr:to>
    <xdr:sp macro="" textlink="">
      <xdr:nvSpPr>
        <xdr:cNvPr id="41" name="Ellipse 40">
          <a:extLst>
            <a:ext uri="{FF2B5EF4-FFF2-40B4-BE49-F238E27FC236}">
              <a16:creationId xmlns:a16="http://schemas.microsoft.com/office/drawing/2014/main" id="{00000000-0008-0000-0E00-000029000000}"/>
            </a:ext>
          </a:extLst>
        </xdr:cNvPr>
        <xdr:cNvSpPr/>
      </xdr:nvSpPr>
      <xdr:spPr>
        <a:xfrm>
          <a:off x="4352918" y="2162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230978</xdr:colOff>
      <xdr:row>14</xdr:row>
      <xdr:rowOff>66675</xdr:rowOff>
    </xdr:from>
    <xdr:to>
      <xdr:col>3</xdr:col>
      <xdr:colOff>302978</xdr:colOff>
      <xdr:row>14</xdr:row>
      <xdr:rowOff>139011</xdr:rowOff>
    </xdr:to>
    <xdr:sp macro="" textlink="">
      <xdr:nvSpPr>
        <xdr:cNvPr id="42" name="Ellipse 41">
          <a:extLst>
            <a:ext uri="{FF2B5EF4-FFF2-40B4-BE49-F238E27FC236}">
              <a16:creationId xmlns:a16="http://schemas.microsoft.com/office/drawing/2014/main" id="{00000000-0008-0000-0E00-00002A000000}"/>
            </a:ext>
          </a:extLst>
        </xdr:cNvPr>
        <xdr:cNvSpPr/>
      </xdr:nvSpPr>
      <xdr:spPr>
        <a:xfrm>
          <a:off x="3974303" y="2924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76200</xdr:colOff>
      <xdr:row>14</xdr:row>
      <xdr:rowOff>66675</xdr:rowOff>
    </xdr:from>
    <xdr:to>
      <xdr:col>3</xdr:col>
      <xdr:colOff>148200</xdr:colOff>
      <xdr:row>14</xdr:row>
      <xdr:rowOff>139011</xdr:rowOff>
    </xdr:to>
    <xdr:sp macro="" textlink="">
      <xdr:nvSpPr>
        <xdr:cNvPr id="43" name="Ellipse 42">
          <a:extLst>
            <a:ext uri="{FF2B5EF4-FFF2-40B4-BE49-F238E27FC236}">
              <a16:creationId xmlns:a16="http://schemas.microsoft.com/office/drawing/2014/main" id="{00000000-0008-0000-0E00-00002B000000}"/>
            </a:ext>
          </a:extLst>
        </xdr:cNvPr>
        <xdr:cNvSpPr/>
      </xdr:nvSpPr>
      <xdr:spPr>
        <a:xfrm>
          <a:off x="3819525" y="2924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153589</xdr:colOff>
      <xdr:row>14</xdr:row>
      <xdr:rowOff>66675</xdr:rowOff>
    </xdr:from>
    <xdr:to>
      <xdr:col>3</xdr:col>
      <xdr:colOff>225589</xdr:colOff>
      <xdr:row>14</xdr:row>
      <xdr:rowOff>139011</xdr:rowOff>
    </xdr:to>
    <xdr:sp macro="" textlink="">
      <xdr:nvSpPr>
        <xdr:cNvPr id="44" name="Ellipse 43">
          <a:extLst>
            <a:ext uri="{FF2B5EF4-FFF2-40B4-BE49-F238E27FC236}">
              <a16:creationId xmlns:a16="http://schemas.microsoft.com/office/drawing/2014/main" id="{00000000-0008-0000-0E00-00002C000000}"/>
            </a:ext>
          </a:extLst>
        </xdr:cNvPr>
        <xdr:cNvSpPr/>
      </xdr:nvSpPr>
      <xdr:spPr>
        <a:xfrm>
          <a:off x="3896914" y="2924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305989</xdr:colOff>
      <xdr:row>14</xdr:row>
      <xdr:rowOff>66675</xdr:rowOff>
    </xdr:from>
    <xdr:to>
      <xdr:col>3</xdr:col>
      <xdr:colOff>377989</xdr:colOff>
      <xdr:row>14</xdr:row>
      <xdr:rowOff>139011</xdr:rowOff>
    </xdr:to>
    <xdr:sp macro="" textlink="">
      <xdr:nvSpPr>
        <xdr:cNvPr id="45" name="Ellipse 44">
          <a:extLst>
            <a:ext uri="{FF2B5EF4-FFF2-40B4-BE49-F238E27FC236}">
              <a16:creationId xmlns:a16="http://schemas.microsoft.com/office/drawing/2014/main" id="{00000000-0008-0000-0E00-00002D000000}"/>
            </a:ext>
          </a:extLst>
        </xdr:cNvPr>
        <xdr:cNvSpPr/>
      </xdr:nvSpPr>
      <xdr:spPr>
        <a:xfrm>
          <a:off x="4049314" y="2924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3</xdr:col>
      <xdr:colOff>385759</xdr:colOff>
      <xdr:row>14</xdr:row>
      <xdr:rowOff>66675</xdr:rowOff>
    </xdr:from>
    <xdr:to>
      <xdr:col>3</xdr:col>
      <xdr:colOff>457759</xdr:colOff>
      <xdr:row>14</xdr:row>
      <xdr:rowOff>139011</xdr:rowOff>
    </xdr:to>
    <xdr:sp macro="" textlink="">
      <xdr:nvSpPr>
        <xdr:cNvPr id="46" name="Ellipse 45">
          <a:extLst>
            <a:ext uri="{FF2B5EF4-FFF2-40B4-BE49-F238E27FC236}">
              <a16:creationId xmlns:a16="http://schemas.microsoft.com/office/drawing/2014/main" id="{00000000-0008-0000-0E00-00002E000000}"/>
            </a:ext>
          </a:extLst>
        </xdr:cNvPr>
        <xdr:cNvSpPr/>
      </xdr:nvSpPr>
      <xdr:spPr>
        <a:xfrm>
          <a:off x="4129084" y="2924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230978</xdr:colOff>
      <xdr:row>2</xdr:row>
      <xdr:rowOff>66675</xdr:rowOff>
    </xdr:from>
    <xdr:to>
      <xdr:col>7</xdr:col>
      <xdr:colOff>302978</xdr:colOff>
      <xdr:row>2</xdr:row>
      <xdr:rowOff>139011</xdr:rowOff>
    </xdr:to>
    <xdr:sp macro="" textlink="">
      <xdr:nvSpPr>
        <xdr:cNvPr id="50" name="Ellipse 49">
          <a:extLst>
            <a:ext uri="{FF2B5EF4-FFF2-40B4-BE49-F238E27FC236}">
              <a16:creationId xmlns:a16="http://schemas.microsoft.com/office/drawing/2014/main" id="{00000000-0008-0000-0E00-000032000000}"/>
            </a:ext>
          </a:extLst>
        </xdr:cNvPr>
        <xdr:cNvSpPr/>
      </xdr:nvSpPr>
      <xdr:spPr>
        <a:xfrm>
          <a:off x="7993853" y="638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76200</xdr:colOff>
      <xdr:row>2</xdr:row>
      <xdr:rowOff>66675</xdr:rowOff>
    </xdr:from>
    <xdr:to>
      <xdr:col>7</xdr:col>
      <xdr:colOff>148200</xdr:colOff>
      <xdr:row>2</xdr:row>
      <xdr:rowOff>139011</xdr:rowOff>
    </xdr:to>
    <xdr:sp macro="" textlink="">
      <xdr:nvSpPr>
        <xdr:cNvPr id="51" name="Ellipse 50">
          <a:extLst>
            <a:ext uri="{FF2B5EF4-FFF2-40B4-BE49-F238E27FC236}">
              <a16:creationId xmlns:a16="http://schemas.microsoft.com/office/drawing/2014/main" id="{00000000-0008-0000-0E00-000033000000}"/>
            </a:ext>
          </a:extLst>
        </xdr:cNvPr>
        <xdr:cNvSpPr/>
      </xdr:nvSpPr>
      <xdr:spPr>
        <a:xfrm>
          <a:off x="7839075" y="638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153589</xdr:colOff>
      <xdr:row>2</xdr:row>
      <xdr:rowOff>66675</xdr:rowOff>
    </xdr:from>
    <xdr:to>
      <xdr:col>7</xdr:col>
      <xdr:colOff>225589</xdr:colOff>
      <xdr:row>2</xdr:row>
      <xdr:rowOff>139011</xdr:rowOff>
    </xdr:to>
    <xdr:sp macro="" textlink="">
      <xdr:nvSpPr>
        <xdr:cNvPr id="52" name="Ellipse 51">
          <a:extLst>
            <a:ext uri="{FF2B5EF4-FFF2-40B4-BE49-F238E27FC236}">
              <a16:creationId xmlns:a16="http://schemas.microsoft.com/office/drawing/2014/main" id="{00000000-0008-0000-0E00-000034000000}"/>
            </a:ext>
          </a:extLst>
        </xdr:cNvPr>
        <xdr:cNvSpPr/>
      </xdr:nvSpPr>
      <xdr:spPr>
        <a:xfrm>
          <a:off x="7916464" y="638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305989</xdr:colOff>
      <xdr:row>2</xdr:row>
      <xdr:rowOff>66675</xdr:rowOff>
    </xdr:from>
    <xdr:to>
      <xdr:col>7</xdr:col>
      <xdr:colOff>377989</xdr:colOff>
      <xdr:row>2</xdr:row>
      <xdr:rowOff>139011</xdr:rowOff>
    </xdr:to>
    <xdr:sp macro="" textlink="">
      <xdr:nvSpPr>
        <xdr:cNvPr id="53" name="Ellipse 52">
          <a:extLst>
            <a:ext uri="{FF2B5EF4-FFF2-40B4-BE49-F238E27FC236}">
              <a16:creationId xmlns:a16="http://schemas.microsoft.com/office/drawing/2014/main" id="{00000000-0008-0000-0E00-000035000000}"/>
            </a:ext>
          </a:extLst>
        </xdr:cNvPr>
        <xdr:cNvSpPr/>
      </xdr:nvSpPr>
      <xdr:spPr>
        <a:xfrm>
          <a:off x="8068864" y="638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385759</xdr:colOff>
      <xdr:row>2</xdr:row>
      <xdr:rowOff>66675</xdr:rowOff>
    </xdr:from>
    <xdr:to>
      <xdr:col>7</xdr:col>
      <xdr:colOff>457759</xdr:colOff>
      <xdr:row>2</xdr:row>
      <xdr:rowOff>139011</xdr:rowOff>
    </xdr:to>
    <xdr:sp macro="" textlink="">
      <xdr:nvSpPr>
        <xdr:cNvPr id="54" name="Ellipse 53">
          <a:extLst>
            <a:ext uri="{FF2B5EF4-FFF2-40B4-BE49-F238E27FC236}">
              <a16:creationId xmlns:a16="http://schemas.microsoft.com/office/drawing/2014/main" id="{00000000-0008-0000-0E00-000036000000}"/>
            </a:ext>
          </a:extLst>
        </xdr:cNvPr>
        <xdr:cNvSpPr/>
      </xdr:nvSpPr>
      <xdr:spPr>
        <a:xfrm>
          <a:off x="8148634" y="638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461957</xdr:colOff>
      <xdr:row>2</xdr:row>
      <xdr:rowOff>66675</xdr:rowOff>
    </xdr:from>
    <xdr:to>
      <xdr:col>7</xdr:col>
      <xdr:colOff>533957</xdr:colOff>
      <xdr:row>2</xdr:row>
      <xdr:rowOff>139011</xdr:rowOff>
    </xdr:to>
    <xdr:sp macro="" textlink="">
      <xdr:nvSpPr>
        <xdr:cNvPr id="55" name="Ellipse 54">
          <a:extLst>
            <a:ext uri="{FF2B5EF4-FFF2-40B4-BE49-F238E27FC236}">
              <a16:creationId xmlns:a16="http://schemas.microsoft.com/office/drawing/2014/main" id="{00000000-0008-0000-0E00-000037000000}"/>
            </a:ext>
          </a:extLst>
        </xdr:cNvPr>
        <xdr:cNvSpPr/>
      </xdr:nvSpPr>
      <xdr:spPr>
        <a:xfrm>
          <a:off x="8224832" y="638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533392</xdr:colOff>
      <xdr:row>2</xdr:row>
      <xdr:rowOff>66675</xdr:rowOff>
    </xdr:from>
    <xdr:to>
      <xdr:col>7</xdr:col>
      <xdr:colOff>605392</xdr:colOff>
      <xdr:row>2</xdr:row>
      <xdr:rowOff>139011</xdr:rowOff>
    </xdr:to>
    <xdr:sp macro="" textlink="">
      <xdr:nvSpPr>
        <xdr:cNvPr id="56" name="Ellipse 55">
          <a:extLst>
            <a:ext uri="{FF2B5EF4-FFF2-40B4-BE49-F238E27FC236}">
              <a16:creationId xmlns:a16="http://schemas.microsoft.com/office/drawing/2014/main" id="{00000000-0008-0000-0E00-000038000000}"/>
            </a:ext>
          </a:extLst>
        </xdr:cNvPr>
        <xdr:cNvSpPr/>
      </xdr:nvSpPr>
      <xdr:spPr>
        <a:xfrm>
          <a:off x="8296267" y="638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609593</xdr:colOff>
      <xdr:row>2</xdr:row>
      <xdr:rowOff>66675</xdr:rowOff>
    </xdr:from>
    <xdr:to>
      <xdr:col>7</xdr:col>
      <xdr:colOff>681593</xdr:colOff>
      <xdr:row>2</xdr:row>
      <xdr:rowOff>139011</xdr:rowOff>
    </xdr:to>
    <xdr:sp macro="" textlink="">
      <xdr:nvSpPr>
        <xdr:cNvPr id="57" name="Ellipse 56">
          <a:extLst>
            <a:ext uri="{FF2B5EF4-FFF2-40B4-BE49-F238E27FC236}">
              <a16:creationId xmlns:a16="http://schemas.microsoft.com/office/drawing/2014/main" id="{00000000-0008-0000-0E00-000039000000}"/>
            </a:ext>
          </a:extLst>
        </xdr:cNvPr>
        <xdr:cNvSpPr/>
      </xdr:nvSpPr>
      <xdr:spPr>
        <a:xfrm>
          <a:off x="8372468" y="638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230978</xdr:colOff>
      <xdr:row>6</xdr:row>
      <xdr:rowOff>66675</xdr:rowOff>
    </xdr:from>
    <xdr:to>
      <xdr:col>7</xdr:col>
      <xdr:colOff>302978</xdr:colOff>
      <xdr:row>6</xdr:row>
      <xdr:rowOff>139011</xdr:rowOff>
    </xdr:to>
    <xdr:sp macro="" textlink="">
      <xdr:nvSpPr>
        <xdr:cNvPr id="58" name="Ellipse 57">
          <a:extLst>
            <a:ext uri="{FF2B5EF4-FFF2-40B4-BE49-F238E27FC236}">
              <a16:creationId xmlns:a16="http://schemas.microsoft.com/office/drawing/2014/main" id="{00000000-0008-0000-0E00-00003A000000}"/>
            </a:ext>
          </a:extLst>
        </xdr:cNvPr>
        <xdr:cNvSpPr/>
      </xdr:nvSpPr>
      <xdr:spPr>
        <a:xfrm>
          <a:off x="7993853" y="1400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76200</xdr:colOff>
      <xdr:row>6</xdr:row>
      <xdr:rowOff>66675</xdr:rowOff>
    </xdr:from>
    <xdr:to>
      <xdr:col>7</xdr:col>
      <xdr:colOff>148200</xdr:colOff>
      <xdr:row>6</xdr:row>
      <xdr:rowOff>139011</xdr:rowOff>
    </xdr:to>
    <xdr:sp macro="" textlink="">
      <xdr:nvSpPr>
        <xdr:cNvPr id="59" name="Ellipse 58">
          <a:extLst>
            <a:ext uri="{FF2B5EF4-FFF2-40B4-BE49-F238E27FC236}">
              <a16:creationId xmlns:a16="http://schemas.microsoft.com/office/drawing/2014/main" id="{00000000-0008-0000-0E00-00003B000000}"/>
            </a:ext>
          </a:extLst>
        </xdr:cNvPr>
        <xdr:cNvSpPr/>
      </xdr:nvSpPr>
      <xdr:spPr>
        <a:xfrm>
          <a:off x="7839075" y="1400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153589</xdr:colOff>
      <xdr:row>6</xdr:row>
      <xdr:rowOff>66675</xdr:rowOff>
    </xdr:from>
    <xdr:to>
      <xdr:col>7</xdr:col>
      <xdr:colOff>225589</xdr:colOff>
      <xdr:row>6</xdr:row>
      <xdr:rowOff>139011</xdr:rowOff>
    </xdr:to>
    <xdr:sp macro="" textlink="">
      <xdr:nvSpPr>
        <xdr:cNvPr id="60" name="Ellipse 59">
          <a:extLst>
            <a:ext uri="{FF2B5EF4-FFF2-40B4-BE49-F238E27FC236}">
              <a16:creationId xmlns:a16="http://schemas.microsoft.com/office/drawing/2014/main" id="{00000000-0008-0000-0E00-00003C000000}"/>
            </a:ext>
          </a:extLst>
        </xdr:cNvPr>
        <xdr:cNvSpPr/>
      </xdr:nvSpPr>
      <xdr:spPr>
        <a:xfrm>
          <a:off x="7916464" y="1400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305989</xdr:colOff>
      <xdr:row>6</xdr:row>
      <xdr:rowOff>66675</xdr:rowOff>
    </xdr:from>
    <xdr:to>
      <xdr:col>7</xdr:col>
      <xdr:colOff>377989</xdr:colOff>
      <xdr:row>6</xdr:row>
      <xdr:rowOff>139011</xdr:rowOff>
    </xdr:to>
    <xdr:sp macro="" textlink="">
      <xdr:nvSpPr>
        <xdr:cNvPr id="61" name="Ellipse 60">
          <a:extLst>
            <a:ext uri="{FF2B5EF4-FFF2-40B4-BE49-F238E27FC236}">
              <a16:creationId xmlns:a16="http://schemas.microsoft.com/office/drawing/2014/main" id="{00000000-0008-0000-0E00-00003D000000}"/>
            </a:ext>
          </a:extLst>
        </xdr:cNvPr>
        <xdr:cNvSpPr/>
      </xdr:nvSpPr>
      <xdr:spPr>
        <a:xfrm>
          <a:off x="8068864" y="1400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385759</xdr:colOff>
      <xdr:row>6</xdr:row>
      <xdr:rowOff>66675</xdr:rowOff>
    </xdr:from>
    <xdr:to>
      <xdr:col>7</xdr:col>
      <xdr:colOff>457759</xdr:colOff>
      <xdr:row>6</xdr:row>
      <xdr:rowOff>139011</xdr:rowOff>
    </xdr:to>
    <xdr:sp macro="" textlink="">
      <xdr:nvSpPr>
        <xdr:cNvPr id="62" name="Ellipse 61">
          <a:extLst>
            <a:ext uri="{FF2B5EF4-FFF2-40B4-BE49-F238E27FC236}">
              <a16:creationId xmlns:a16="http://schemas.microsoft.com/office/drawing/2014/main" id="{00000000-0008-0000-0E00-00003E000000}"/>
            </a:ext>
          </a:extLst>
        </xdr:cNvPr>
        <xdr:cNvSpPr/>
      </xdr:nvSpPr>
      <xdr:spPr>
        <a:xfrm>
          <a:off x="8148634" y="1400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461957</xdr:colOff>
      <xdr:row>6</xdr:row>
      <xdr:rowOff>66675</xdr:rowOff>
    </xdr:from>
    <xdr:to>
      <xdr:col>7</xdr:col>
      <xdr:colOff>533957</xdr:colOff>
      <xdr:row>6</xdr:row>
      <xdr:rowOff>139011</xdr:rowOff>
    </xdr:to>
    <xdr:sp macro="" textlink="">
      <xdr:nvSpPr>
        <xdr:cNvPr id="63" name="Ellipse 62">
          <a:extLst>
            <a:ext uri="{FF2B5EF4-FFF2-40B4-BE49-F238E27FC236}">
              <a16:creationId xmlns:a16="http://schemas.microsoft.com/office/drawing/2014/main" id="{00000000-0008-0000-0E00-00003F000000}"/>
            </a:ext>
          </a:extLst>
        </xdr:cNvPr>
        <xdr:cNvSpPr/>
      </xdr:nvSpPr>
      <xdr:spPr>
        <a:xfrm>
          <a:off x="8224832" y="1400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533392</xdr:colOff>
      <xdr:row>6</xdr:row>
      <xdr:rowOff>66675</xdr:rowOff>
    </xdr:from>
    <xdr:to>
      <xdr:col>7</xdr:col>
      <xdr:colOff>605392</xdr:colOff>
      <xdr:row>6</xdr:row>
      <xdr:rowOff>139011</xdr:rowOff>
    </xdr:to>
    <xdr:sp macro="" textlink="">
      <xdr:nvSpPr>
        <xdr:cNvPr id="64" name="Ellipse 63">
          <a:extLst>
            <a:ext uri="{FF2B5EF4-FFF2-40B4-BE49-F238E27FC236}">
              <a16:creationId xmlns:a16="http://schemas.microsoft.com/office/drawing/2014/main" id="{00000000-0008-0000-0E00-000040000000}"/>
            </a:ext>
          </a:extLst>
        </xdr:cNvPr>
        <xdr:cNvSpPr/>
      </xdr:nvSpPr>
      <xdr:spPr>
        <a:xfrm>
          <a:off x="8296267" y="1400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230978</xdr:colOff>
      <xdr:row>10</xdr:row>
      <xdr:rowOff>66675</xdr:rowOff>
    </xdr:from>
    <xdr:to>
      <xdr:col>7</xdr:col>
      <xdr:colOff>302978</xdr:colOff>
      <xdr:row>10</xdr:row>
      <xdr:rowOff>139011</xdr:rowOff>
    </xdr:to>
    <xdr:sp macro="" textlink="">
      <xdr:nvSpPr>
        <xdr:cNvPr id="66" name="Ellipse 65">
          <a:extLst>
            <a:ext uri="{FF2B5EF4-FFF2-40B4-BE49-F238E27FC236}">
              <a16:creationId xmlns:a16="http://schemas.microsoft.com/office/drawing/2014/main" id="{00000000-0008-0000-0E00-000042000000}"/>
            </a:ext>
          </a:extLst>
        </xdr:cNvPr>
        <xdr:cNvSpPr/>
      </xdr:nvSpPr>
      <xdr:spPr>
        <a:xfrm>
          <a:off x="7993853" y="2162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76200</xdr:colOff>
      <xdr:row>10</xdr:row>
      <xdr:rowOff>66675</xdr:rowOff>
    </xdr:from>
    <xdr:to>
      <xdr:col>7</xdr:col>
      <xdr:colOff>148200</xdr:colOff>
      <xdr:row>10</xdr:row>
      <xdr:rowOff>139011</xdr:rowOff>
    </xdr:to>
    <xdr:sp macro="" textlink="">
      <xdr:nvSpPr>
        <xdr:cNvPr id="67" name="Ellipse 66">
          <a:extLst>
            <a:ext uri="{FF2B5EF4-FFF2-40B4-BE49-F238E27FC236}">
              <a16:creationId xmlns:a16="http://schemas.microsoft.com/office/drawing/2014/main" id="{00000000-0008-0000-0E00-000043000000}"/>
            </a:ext>
          </a:extLst>
        </xdr:cNvPr>
        <xdr:cNvSpPr/>
      </xdr:nvSpPr>
      <xdr:spPr>
        <a:xfrm>
          <a:off x="7839075" y="2162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153589</xdr:colOff>
      <xdr:row>10</xdr:row>
      <xdr:rowOff>66675</xdr:rowOff>
    </xdr:from>
    <xdr:to>
      <xdr:col>7</xdr:col>
      <xdr:colOff>225589</xdr:colOff>
      <xdr:row>10</xdr:row>
      <xdr:rowOff>139011</xdr:rowOff>
    </xdr:to>
    <xdr:sp macro="" textlink="">
      <xdr:nvSpPr>
        <xdr:cNvPr id="68" name="Ellipse 67">
          <a:extLst>
            <a:ext uri="{FF2B5EF4-FFF2-40B4-BE49-F238E27FC236}">
              <a16:creationId xmlns:a16="http://schemas.microsoft.com/office/drawing/2014/main" id="{00000000-0008-0000-0E00-000044000000}"/>
            </a:ext>
          </a:extLst>
        </xdr:cNvPr>
        <xdr:cNvSpPr/>
      </xdr:nvSpPr>
      <xdr:spPr>
        <a:xfrm>
          <a:off x="7916464" y="2162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305989</xdr:colOff>
      <xdr:row>10</xdr:row>
      <xdr:rowOff>66675</xdr:rowOff>
    </xdr:from>
    <xdr:to>
      <xdr:col>7</xdr:col>
      <xdr:colOff>377989</xdr:colOff>
      <xdr:row>10</xdr:row>
      <xdr:rowOff>139011</xdr:rowOff>
    </xdr:to>
    <xdr:sp macro="" textlink="">
      <xdr:nvSpPr>
        <xdr:cNvPr id="69" name="Ellipse 68">
          <a:extLst>
            <a:ext uri="{FF2B5EF4-FFF2-40B4-BE49-F238E27FC236}">
              <a16:creationId xmlns:a16="http://schemas.microsoft.com/office/drawing/2014/main" id="{00000000-0008-0000-0E00-000045000000}"/>
            </a:ext>
          </a:extLst>
        </xdr:cNvPr>
        <xdr:cNvSpPr/>
      </xdr:nvSpPr>
      <xdr:spPr>
        <a:xfrm>
          <a:off x="8068864" y="2162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385759</xdr:colOff>
      <xdr:row>10</xdr:row>
      <xdr:rowOff>66675</xdr:rowOff>
    </xdr:from>
    <xdr:to>
      <xdr:col>7</xdr:col>
      <xdr:colOff>457759</xdr:colOff>
      <xdr:row>10</xdr:row>
      <xdr:rowOff>139011</xdr:rowOff>
    </xdr:to>
    <xdr:sp macro="" textlink="">
      <xdr:nvSpPr>
        <xdr:cNvPr id="70" name="Ellipse 69">
          <a:extLst>
            <a:ext uri="{FF2B5EF4-FFF2-40B4-BE49-F238E27FC236}">
              <a16:creationId xmlns:a16="http://schemas.microsoft.com/office/drawing/2014/main" id="{00000000-0008-0000-0E00-000046000000}"/>
            </a:ext>
          </a:extLst>
        </xdr:cNvPr>
        <xdr:cNvSpPr/>
      </xdr:nvSpPr>
      <xdr:spPr>
        <a:xfrm>
          <a:off x="8148634" y="2162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76200</xdr:colOff>
      <xdr:row>14</xdr:row>
      <xdr:rowOff>66675</xdr:rowOff>
    </xdr:from>
    <xdr:to>
      <xdr:col>7</xdr:col>
      <xdr:colOff>148200</xdr:colOff>
      <xdr:row>14</xdr:row>
      <xdr:rowOff>139011</xdr:rowOff>
    </xdr:to>
    <xdr:sp macro="" textlink="">
      <xdr:nvSpPr>
        <xdr:cNvPr id="75" name="Ellipse 74">
          <a:extLst>
            <a:ext uri="{FF2B5EF4-FFF2-40B4-BE49-F238E27FC236}">
              <a16:creationId xmlns:a16="http://schemas.microsoft.com/office/drawing/2014/main" id="{00000000-0008-0000-0E00-00004B000000}"/>
            </a:ext>
          </a:extLst>
        </xdr:cNvPr>
        <xdr:cNvSpPr/>
      </xdr:nvSpPr>
      <xdr:spPr>
        <a:xfrm>
          <a:off x="7839075" y="2924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7</xdr:col>
      <xdr:colOff>153589</xdr:colOff>
      <xdr:row>14</xdr:row>
      <xdr:rowOff>66675</xdr:rowOff>
    </xdr:from>
    <xdr:to>
      <xdr:col>7</xdr:col>
      <xdr:colOff>225589</xdr:colOff>
      <xdr:row>14</xdr:row>
      <xdr:rowOff>139011</xdr:rowOff>
    </xdr:to>
    <xdr:sp macro="" textlink="">
      <xdr:nvSpPr>
        <xdr:cNvPr id="76" name="Ellipse 75">
          <a:extLst>
            <a:ext uri="{FF2B5EF4-FFF2-40B4-BE49-F238E27FC236}">
              <a16:creationId xmlns:a16="http://schemas.microsoft.com/office/drawing/2014/main" id="{00000000-0008-0000-0E00-00004C000000}"/>
            </a:ext>
          </a:extLst>
        </xdr:cNvPr>
        <xdr:cNvSpPr/>
      </xdr:nvSpPr>
      <xdr:spPr>
        <a:xfrm>
          <a:off x="7916464" y="29241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230978</xdr:colOff>
      <xdr:row>6</xdr:row>
      <xdr:rowOff>91672</xdr:rowOff>
    </xdr:from>
    <xdr:to>
      <xdr:col>5</xdr:col>
      <xdr:colOff>302978</xdr:colOff>
      <xdr:row>6</xdr:row>
      <xdr:rowOff>164008</xdr:rowOff>
    </xdr:to>
    <xdr:sp macro="" textlink="">
      <xdr:nvSpPr>
        <xdr:cNvPr id="82" name="Ellipse 81">
          <a:extLst>
            <a:ext uri="{FF2B5EF4-FFF2-40B4-BE49-F238E27FC236}">
              <a16:creationId xmlns:a16="http://schemas.microsoft.com/office/drawing/2014/main" id="{00000000-0008-0000-0E00-000052000000}"/>
            </a:ext>
          </a:extLst>
        </xdr:cNvPr>
        <xdr:cNvSpPr/>
      </xdr:nvSpPr>
      <xdr:spPr>
        <a:xfrm>
          <a:off x="5984078" y="1425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76200</xdr:colOff>
      <xdr:row>6</xdr:row>
      <xdr:rowOff>91672</xdr:rowOff>
    </xdr:from>
    <xdr:to>
      <xdr:col>5</xdr:col>
      <xdr:colOff>148200</xdr:colOff>
      <xdr:row>6</xdr:row>
      <xdr:rowOff>164008</xdr:rowOff>
    </xdr:to>
    <xdr:sp macro="" textlink="">
      <xdr:nvSpPr>
        <xdr:cNvPr id="83" name="Ellipse 82">
          <a:extLst>
            <a:ext uri="{FF2B5EF4-FFF2-40B4-BE49-F238E27FC236}">
              <a16:creationId xmlns:a16="http://schemas.microsoft.com/office/drawing/2014/main" id="{00000000-0008-0000-0E00-000053000000}"/>
            </a:ext>
          </a:extLst>
        </xdr:cNvPr>
        <xdr:cNvSpPr/>
      </xdr:nvSpPr>
      <xdr:spPr>
        <a:xfrm>
          <a:off x="5829300" y="1425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153589</xdr:colOff>
      <xdr:row>6</xdr:row>
      <xdr:rowOff>91672</xdr:rowOff>
    </xdr:from>
    <xdr:to>
      <xdr:col>5</xdr:col>
      <xdr:colOff>225589</xdr:colOff>
      <xdr:row>6</xdr:row>
      <xdr:rowOff>164008</xdr:rowOff>
    </xdr:to>
    <xdr:sp macro="" textlink="">
      <xdr:nvSpPr>
        <xdr:cNvPr id="84" name="Ellipse 83">
          <a:extLst>
            <a:ext uri="{FF2B5EF4-FFF2-40B4-BE49-F238E27FC236}">
              <a16:creationId xmlns:a16="http://schemas.microsoft.com/office/drawing/2014/main" id="{00000000-0008-0000-0E00-000054000000}"/>
            </a:ext>
          </a:extLst>
        </xdr:cNvPr>
        <xdr:cNvSpPr/>
      </xdr:nvSpPr>
      <xdr:spPr>
        <a:xfrm>
          <a:off x="5906689" y="1425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114299</xdr:colOff>
      <xdr:row>6</xdr:row>
      <xdr:rowOff>28575</xdr:rowOff>
    </xdr:from>
    <xdr:to>
      <xdr:col>5</xdr:col>
      <xdr:colOff>186299</xdr:colOff>
      <xdr:row>6</xdr:row>
      <xdr:rowOff>100911</xdr:rowOff>
    </xdr:to>
    <xdr:sp macro="" textlink="">
      <xdr:nvSpPr>
        <xdr:cNvPr id="85" name="Ellipse 84">
          <a:extLst>
            <a:ext uri="{FF2B5EF4-FFF2-40B4-BE49-F238E27FC236}">
              <a16:creationId xmlns:a16="http://schemas.microsoft.com/office/drawing/2014/main" id="{00000000-0008-0000-0E00-000055000000}"/>
            </a:ext>
          </a:extLst>
        </xdr:cNvPr>
        <xdr:cNvSpPr/>
      </xdr:nvSpPr>
      <xdr:spPr>
        <a:xfrm>
          <a:off x="5867399" y="13620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191690</xdr:colOff>
      <xdr:row>6</xdr:row>
      <xdr:rowOff>28575</xdr:rowOff>
    </xdr:from>
    <xdr:to>
      <xdr:col>5</xdr:col>
      <xdr:colOff>263690</xdr:colOff>
      <xdr:row>6</xdr:row>
      <xdr:rowOff>100911</xdr:rowOff>
    </xdr:to>
    <xdr:sp macro="" textlink="">
      <xdr:nvSpPr>
        <xdr:cNvPr id="86" name="Ellipse 85">
          <a:extLst>
            <a:ext uri="{FF2B5EF4-FFF2-40B4-BE49-F238E27FC236}">
              <a16:creationId xmlns:a16="http://schemas.microsoft.com/office/drawing/2014/main" id="{00000000-0008-0000-0E00-000056000000}"/>
            </a:ext>
          </a:extLst>
        </xdr:cNvPr>
        <xdr:cNvSpPr/>
      </xdr:nvSpPr>
      <xdr:spPr>
        <a:xfrm>
          <a:off x="5944790" y="13620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307178</xdr:colOff>
      <xdr:row>6</xdr:row>
      <xdr:rowOff>91672</xdr:rowOff>
    </xdr:from>
    <xdr:to>
      <xdr:col>5</xdr:col>
      <xdr:colOff>379178</xdr:colOff>
      <xdr:row>6</xdr:row>
      <xdr:rowOff>164008</xdr:rowOff>
    </xdr:to>
    <xdr:sp macro="" textlink="">
      <xdr:nvSpPr>
        <xdr:cNvPr id="87" name="Ellipse 86">
          <a:extLst>
            <a:ext uri="{FF2B5EF4-FFF2-40B4-BE49-F238E27FC236}">
              <a16:creationId xmlns:a16="http://schemas.microsoft.com/office/drawing/2014/main" id="{00000000-0008-0000-0E00-000057000000}"/>
            </a:ext>
          </a:extLst>
        </xdr:cNvPr>
        <xdr:cNvSpPr/>
      </xdr:nvSpPr>
      <xdr:spPr>
        <a:xfrm>
          <a:off x="6060278" y="1425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230978</xdr:colOff>
      <xdr:row>10</xdr:row>
      <xdr:rowOff>91672</xdr:rowOff>
    </xdr:from>
    <xdr:to>
      <xdr:col>5</xdr:col>
      <xdr:colOff>302978</xdr:colOff>
      <xdr:row>10</xdr:row>
      <xdr:rowOff>164008</xdr:rowOff>
    </xdr:to>
    <xdr:sp macro="" textlink="">
      <xdr:nvSpPr>
        <xdr:cNvPr id="90" name="Ellipse 89">
          <a:extLst>
            <a:ext uri="{FF2B5EF4-FFF2-40B4-BE49-F238E27FC236}">
              <a16:creationId xmlns:a16="http://schemas.microsoft.com/office/drawing/2014/main" id="{00000000-0008-0000-0E00-00005A000000}"/>
            </a:ext>
          </a:extLst>
        </xdr:cNvPr>
        <xdr:cNvSpPr/>
      </xdr:nvSpPr>
      <xdr:spPr>
        <a:xfrm>
          <a:off x="5984078" y="2187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76200</xdr:colOff>
      <xdr:row>10</xdr:row>
      <xdr:rowOff>91672</xdr:rowOff>
    </xdr:from>
    <xdr:to>
      <xdr:col>5</xdr:col>
      <xdr:colOff>148200</xdr:colOff>
      <xdr:row>10</xdr:row>
      <xdr:rowOff>164008</xdr:rowOff>
    </xdr:to>
    <xdr:sp macro="" textlink="">
      <xdr:nvSpPr>
        <xdr:cNvPr id="91" name="Ellipse 90">
          <a:extLst>
            <a:ext uri="{FF2B5EF4-FFF2-40B4-BE49-F238E27FC236}">
              <a16:creationId xmlns:a16="http://schemas.microsoft.com/office/drawing/2014/main" id="{00000000-0008-0000-0E00-00005B000000}"/>
            </a:ext>
          </a:extLst>
        </xdr:cNvPr>
        <xdr:cNvSpPr/>
      </xdr:nvSpPr>
      <xdr:spPr>
        <a:xfrm>
          <a:off x="5829300" y="2187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153589</xdr:colOff>
      <xdr:row>10</xdr:row>
      <xdr:rowOff>91672</xdr:rowOff>
    </xdr:from>
    <xdr:to>
      <xdr:col>5</xdr:col>
      <xdr:colOff>225589</xdr:colOff>
      <xdr:row>10</xdr:row>
      <xdr:rowOff>164008</xdr:rowOff>
    </xdr:to>
    <xdr:sp macro="" textlink="">
      <xdr:nvSpPr>
        <xdr:cNvPr id="92" name="Ellipse 91">
          <a:extLst>
            <a:ext uri="{FF2B5EF4-FFF2-40B4-BE49-F238E27FC236}">
              <a16:creationId xmlns:a16="http://schemas.microsoft.com/office/drawing/2014/main" id="{00000000-0008-0000-0E00-00005C000000}"/>
            </a:ext>
          </a:extLst>
        </xdr:cNvPr>
        <xdr:cNvSpPr/>
      </xdr:nvSpPr>
      <xdr:spPr>
        <a:xfrm>
          <a:off x="5906689" y="2187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114299</xdr:colOff>
      <xdr:row>10</xdr:row>
      <xdr:rowOff>28575</xdr:rowOff>
    </xdr:from>
    <xdr:to>
      <xdr:col>5</xdr:col>
      <xdr:colOff>186299</xdr:colOff>
      <xdr:row>10</xdr:row>
      <xdr:rowOff>100911</xdr:rowOff>
    </xdr:to>
    <xdr:sp macro="" textlink="">
      <xdr:nvSpPr>
        <xdr:cNvPr id="93" name="Ellipse 92">
          <a:extLst>
            <a:ext uri="{FF2B5EF4-FFF2-40B4-BE49-F238E27FC236}">
              <a16:creationId xmlns:a16="http://schemas.microsoft.com/office/drawing/2014/main" id="{00000000-0008-0000-0E00-00005D000000}"/>
            </a:ext>
          </a:extLst>
        </xdr:cNvPr>
        <xdr:cNvSpPr/>
      </xdr:nvSpPr>
      <xdr:spPr>
        <a:xfrm>
          <a:off x="5867399" y="21240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191690</xdr:colOff>
      <xdr:row>10</xdr:row>
      <xdr:rowOff>28575</xdr:rowOff>
    </xdr:from>
    <xdr:to>
      <xdr:col>5</xdr:col>
      <xdr:colOff>263690</xdr:colOff>
      <xdr:row>10</xdr:row>
      <xdr:rowOff>100911</xdr:rowOff>
    </xdr:to>
    <xdr:sp macro="" textlink="">
      <xdr:nvSpPr>
        <xdr:cNvPr id="94" name="Ellipse 93">
          <a:extLst>
            <a:ext uri="{FF2B5EF4-FFF2-40B4-BE49-F238E27FC236}">
              <a16:creationId xmlns:a16="http://schemas.microsoft.com/office/drawing/2014/main" id="{00000000-0008-0000-0E00-00005E000000}"/>
            </a:ext>
          </a:extLst>
        </xdr:cNvPr>
        <xdr:cNvSpPr/>
      </xdr:nvSpPr>
      <xdr:spPr>
        <a:xfrm>
          <a:off x="5944790" y="21240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76200</xdr:colOff>
      <xdr:row>14</xdr:row>
      <xdr:rowOff>91672</xdr:rowOff>
    </xdr:from>
    <xdr:to>
      <xdr:col>5</xdr:col>
      <xdr:colOff>148200</xdr:colOff>
      <xdr:row>14</xdr:row>
      <xdr:rowOff>164008</xdr:rowOff>
    </xdr:to>
    <xdr:sp macro="" textlink="">
      <xdr:nvSpPr>
        <xdr:cNvPr id="99" name="Ellipse 98">
          <a:extLst>
            <a:ext uri="{FF2B5EF4-FFF2-40B4-BE49-F238E27FC236}">
              <a16:creationId xmlns:a16="http://schemas.microsoft.com/office/drawing/2014/main" id="{00000000-0008-0000-0E00-000063000000}"/>
            </a:ext>
          </a:extLst>
        </xdr:cNvPr>
        <xdr:cNvSpPr/>
      </xdr:nvSpPr>
      <xdr:spPr>
        <a:xfrm>
          <a:off x="5829300" y="2949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153589</xdr:colOff>
      <xdr:row>14</xdr:row>
      <xdr:rowOff>91672</xdr:rowOff>
    </xdr:from>
    <xdr:to>
      <xdr:col>5</xdr:col>
      <xdr:colOff>225589</xdr:colOff>
      <xdr:row>14</xdr:row>
      <xdr:rowOff>164008</xdr:rowOff>
    </xdr:to>
    <xdr:sp macro="" textlink="">
      <xdr:nvSpPr>
        <xdr:cNvPr id="100" name="Ellipse 99">
          <a:extLst>
            <a:ext uri="{FF2B5EF4-FFF2-40B4-BE49-F238E27FC236}">
              <a16:creationId xmlns:a16="http://schemas.microsoft.com/office/drawing/2014/main" id="{00000000-0008-0000-0E00-000064000000}"/>
            </a:ext>
          </a:extLst>
        </xdr:cNvPr>
        <xdr:cNvSpPr/>
      </xdr:nvSpPr>
      <xdr:spPr>
        <a:xfrm>
          <a:off x="5906689" y="2949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114299</xdr:colOff>
      <xdr:row>14</xdr:row>
      <xdr:rowOff>28575</xdr:rowOff>
    </xdr:from>
    <xdr:to>
      <xdr:col>5</xdr:col>
      <xdr:colOff>186299</xdr:colOff>
      <xdr:row>14</xdr:row>
      <xdr:rowOff>100911</xdr:rowOff>
    </xdr:to>
    <xdr:sp macro="" textlink="">
      <xdr:nvSpPr>
        <xdr:cNvPr id="101" name="Ellipse 100">
          <a:extLst>
            <a:ext uri="{FF2B5EF4-FFF2-40B4-BE49-F238E27FC236}">
              <a16:creationId xmlns:a16="http://schemas.microsoft.com/office/drawing/2014/main" id="{00000000-0008-0000-0E00-000065000000}"/>
            </a:ext>
          </a:extLst>
        </xdr:cNvPr>
        <xdr:cNvSpPr/>
      </xdr:nvSpPr>
      <xdr:spPr>
        <a:xfrm>
          <a:off x="5867399" y="28860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9</xdr:col>
      <xdr:colOff>230978</xdr:colOff>
      <xdr:row>2</xdr:row>
      <xdr:rowOff>91672</xdr:rowOff>
    </xdr:from>
    <xdr:to>
      <xdr:col>9</xdr:col>
      <xdr:colOff>302978</xdr:colOff>
      <xdr:row>2</xdr:row>
      <xdr:rowOff>164008</xdr:rowOff>
    </xdr:to>
    <xdr:sp macro="" textlink="">
      <xdr:nvSpPr>
        <xdr:cNvPr id="106" name="Ellipse 105">
          <a:extLst>
            <a:ext uri="{FF2B5EF4-FFF2-40B4-BE49-F238E27FC236}">
              <a16:creationId xmlns:a16="http://schemas.microsoft.com/office/drawing/2014/main" id="{00000000-0008-0000-0E00-00006A000000}"/>
            </a:ext>
          </a:extLst>
        </xdr:cNvPr>
        <xdr:cNvSpPr/>
      </xdr:nvSpPr>
      <xdr:spPr>
        <a:xfrm>
          <a:off x="10003628" y="663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9</xdr:col>
      <xdr:colOff>76200</xdr:colOff>
      <xdr:row>2</xdr:row>
      <xdr:rowOff>91672</xdr:rowOff>
    </xdr:from>
    <xdr:to>
      <xdr:col>9</xdr:col>
      <xdr:colOff>148200</xdr:colOff>
      <xdr:row>2</xdr:row>
      <xdr:rowOff>164008</xdr:rowOff>
    </xdr:to>
    <xdr:sp macro="" textlink="">
      <xdr:nvSpPr>
        <xdr:cNvPr id="107" name="Ellipse 106">
          <a:extLst>
            <a:ext uri="{FF2B5EF4-FFF2-40B4-BE49-F238E27FC236}">
              <a16:creationId xmlns:a16="http://schemas.microsoft.com/office/drawing/2014/main" id="{00000000-0008-0000-0E00-00006B000000}"/>
            </a:ext>
          </a:extLst>
        </xdr:cNvPr>
        <xdr:cNvSpPr/>
      </xdr:nvSpPr>
      <xdr:spPr>
        <a:xfrm>
          <a:off x="9848850" y="663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9</xdr:col>
      <xdr:colOff>153589</xdr:colOff>
      <xdr:row>2</xdr:row>
      <xdr:rowOff>91672</xdr:rowOff>
    </xdr:from>
    <xdr:to>
      <xdr:col>9</xdr:col>
      <xdr:colOff>225589</xdr:colOff>
      <xdr:row>2</xdr:row>
      <xdr:rowOff>164008</xdr:rowOff>
    </xdr:to>
    <xdr:sp macro="" textlink="">
      <xdr:nvSpPr>
        <xdr:cNvPr id="108" name="Ellipse 107">
          <a:extLst>
            <a:ext uri="{FF2B5EF4-FFF2-40B4-BE49-F238E27FC236}">
              <a16:creationId xmlns:a16="http://schemas.microsoft.com/office/drawing/2014/main" id="{00000000-0008-0000-0E00-00006C000000}"/>
            </a:ext>
          </a:extLst>
        </xdr:cNvPr>
        <xdr:cNvSpPr/>
      </xdr:nvSpPr>
      <xdr:spPr>
        <a:xfrm>
          <a:off x="9926239" y="663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9</xdr:col>
      <xdr:colOff>114299</xdr:colOff>
      <xdr:row>2</xdr:row>
      <xdr:rowOff>28575</xdr:rowOff>
    </xdr:from>
    <xdr:to>
      <xdr:col>9</xdr:col>
      <xdr:colOff>186299</xdr:colOff>
      <xdr:row>2</xdr:row>
      <xdr:rowOff>100911</xdr:rowOff>
    </xdr:to>
    <xdr:sp macro="" textlink="">
      <xdr:nvSpPr>
        <xdr:cNvPr id="109" name="Ellipse 108">
          <a:extLst>
            <a:ext uri="{FF2B5EF4-FFF2-40B4-BE49-F238E27FC236}">
              <a16:creationId xmlns:a16="http://schemas.microsoft.com/office/drawing/2014/main" id="{00000000-0008-0000-0E00-00006D000000}"/>
            </a:ext>
          </a:extLst>
        </xdr:cNvPr>
        <xdr:cNvSpPr/>
      </xdr:nvSpPr>
      <xdr:spPr>
        <a:xfrm>
          <a:off x="9886949" y="6000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9</xdr:col>
      <xdr:colOff>230978</xdr:colOff>
      <xdr:row>6</xdr:row>
      <xdr:rowOff>91672</xdr:rowOff>
    </xdr:from>
    <xdr:to>
      <xdr:col>9</xdr:col>
      <xdr:colOff>302978</xdr:colOff>
      <xdr:row>6</xdr:row>
      <xdr:rowOff>164008</xdr:rowOff>
    </xdr:to>
    <xdr:sp macro="" textlink="">
      <xdr:nvSpPr>
        <xdr:cNvPr id="114" name="Ellipse 113">
          <a:extLst>
            <a:ext uri="{FF2B5EF4-FFF2-40B4-BE49-F238E27FC236}">
              <a16:creationId xmlns:a16="http://schemas.microsoft.com/office/drawing/2014/main" id="{00000000-0008-0000-0E00-000072000000}"/>
            </a:ext>
          </a:extLst>
        </xdr:cNvPr>
        <xdr:cNvSpPr/>
      </xdr:nvSpPr>
      <xdr:spPr>
        <a:xfrm>
          <a:off x="10003628" y="1425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9</xdr:col>
      <xdr:colOff>76200</xdr:colOff>
      <xdr:row>6</xdr:row>
      <xdr:rowOff>91672</xdr:rowOff>
    </xdr:from>
    <xdr:to>
      <xdr:col>9</xdr:col>
      <xdr:colOff>148200</xdr:colOff>
      <xdr:row>6</xdr:row>
      <xdr:rowOff>164008</xdr:rowOff>
    </xdr:to>
    <xdr:sp macro="" textlink="">
      <xdr:nvSpPr>
        <xdr:cNvPr id="115" name="Ellipse 114">
          <a:extLst>
            <a:ext uri="{FF2B5EF4-FFF2-40B4-BE49-F238E27FC236}">
              <a16:creationId xmlns:a16="http://schemas.microsoft.com/office/drawing/2014/main" id="{00000000-0008-0000-0E00-000073000000}"/>
            </a:ext>
          </a:extLst>
        </xdr:cNvPr>
        <xdr:cNvSpPr/>
      </xdr:nvSpPr>
      <xdr:spPr>
        <a:xfrm>
          <a:off x="9848850" y="1425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9</xdr:col>
      <xdr:colOff>153589</xdr:colOff>
      <xdr:row>6</xdr:row>
      <xdr:rowOff>91672</xdr:rowOff>
    </xdr:from>
    <xdr:to>
      <xdr:col>9</xdr:col>
      <xdr:colOff>225589</xdr:colOff>
      <xdr:row>6</xdr:row>
      <xdr:rowOff>164008</xdr:rowOff>
    </xdr:to>
    <xdr:sp macro="" textlink="">
      <xdr:nvSpPr>
        <xdr:cNvPr id="116" name="Ellipse 115">
          <a:extLst>
            <a:ext uri="{FF2B5EF4-FFF2-40B4-BE49-F238E27FC236}">
              <a16:creationId xmlns:a16="http://schemas.microsoft.com/office/drawing/2014/main" id="{00000000-0008-0000-0E00-000074000000}"/>
            </a:ext>
          </a:extLst>
        </xdr:cNvPr>
        <xdr:cNvSpPr/>
      </xdr:nvSpPr>
      <xdr:spPr>
        <a:xfrm>
          <a:off x="9926239" y="1425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9</xdr:col>
      <xdr:colOff>114299</xdr:colOff>
      <xdr:row>6</xdr:row>
      <xdr:rowOff>28575</xdr:rowOff>
    </xdr:from>
    <xdr:to>
      <xdr:col>9</xdr:col>
      <xdr:colOff>186299</xdr:colOff>
      <xdr:row>6</xdr:row>
      <xdr:rowOff>100911</xdr:rowOff>
    </xdr:to>
    <xdr:sp macro="" textlink="">
      <xdr:nvSpPr>
        <xdr:cNvPr id="117" name="Ellipse 116">
          <a:extLst>
            <a:ext uri="{FF2B5EF4-FFF2-40B4-BE49-F238E27FC236}">
              <a16:creationId xmlns:a16="http://schemas.microsoft.com/office/drawing/2014/main" id="{00000000-0008-0000-0E00-000075000000}"/>
            </a:ext>
          </a:extLst>
        </xdr:cNvPr>
        <xdr:cNvSpPr/>
      </xdr:nvSpPr>
      <xdr:spPr>
        <a:xfrm>
          <a:off x="9886949" y="13620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9</xdr:col>
      <xdr:colOff>76200</xdr:colOff>
      <xdr:row>10</xdr:row>
      <xdr:rowOff>91672</xdr:rowOff>
    </xdr:from>
    <xdr:to>
      <xdr:col>9</xdr:col>
      <xdr:colOff>148200</xdr:colOff>
      <xdr:row>10</xdr:row>
      <xdr:rowOff>164008</xdr:rowOff>
    </xdr:to>
    <xdr:sp macro="" textlink="">
      <xdr:nvSpPr>
        <xdr:cNvPr id="123" name="Ellipse 122">
          <a:extLst>
            <a:ext uri="{FF2B5EF4-FFF2-40B4-BE49-F238E27FC236}">
              <a16:creationId xmlns:a16="http://schemas.microsoft.com/office/drawing/2014/main" id="{00000000-0008-0000-0E00-00007B000000}"/>
            </a:ext>
          </a:extLst>
        </xdr:cNvPr>
        <xdr:cNvSpPr/>
      </xdr:nvSpPr>
      <xdr:spPr>
        <a:xfrm>
          <a:off x="9848850" y="2187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9</xdr:col>
      <xdr:colOff>153589</xdr:colOff>
      <xdr:row>10</xdr:row>
      <xdr:rowOff>91672</xdr:rowOff>
    </xdr:from>
    <xdr:to>
      <xdr:col>9</xdr:col>
      <xdr:colOff>225589</xdr:colOff>
      <xdr:row>10</xdr:row>
      <xdr:rowOff>164008</xdr:rowOff>
    </xdr:to>
    <xdr:sp macro="" textlink="">
      <xdr:nvSpPr>
        <xdr:cNvPr id="124" name="Ellipse 123">
          <a:extLst>
            <a:ext uri="{FF2B5EF4-FFF2-40B4-BE49-F238E27FC236}">
              <a16:creationId xmlns:a16="http://schemas.microsoft.com/office/drawing/2014/main" id="{00000000-0008-0000-0E00-00007C000000}"/>
            </a:ext>
          </a:extLst>
        </xdr:cNvPr>
        <xdr:cNvSpPr/>
      </xdr:nvSpPr>
      <xdr:spPr>
        <a:xfrm>
          <a:off x="9926239" y="21871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9</xdr:col>
      <xdr:colOff>114299</xdr:colOff>
      <xdr:row>10</xdr:row>
      <xdr:rowOff>28575</xdr:rowOff>
    </xdr:from>
    <xdr:to>
      <xdr:col>9</xdr:col>
      <xdr:colOff>186299</xdr:colOff>
      <xdr:row>10</xdr:row>
      <xdr:rowOff>100911</xdr:rowOff>
    </xdr:to>
    <xdr:sp macro="" textlink="">
      <xdr:nvSpPr>
        <xdr:cNvPr id="125" name="Ellipse 124">
          <a:extLst>
            <a:ext uri="{FF2B5EF4-FFF2-40B4-BE49-F238E27FC236}">
              <a16:creationId xmlns:a16="http://schemas.microsoft.com/office/drawing/2014/main" id="{00000000-0008-0000-0E00-00007D000000}"/>
            </a:ext>
          </a:extLst>
        </xdr:cNvPr>
        <xdr:cNvSpPr/>
      </xdr:nvSpPr>
      <xdr:spPr>
        <a:xfrm>
          <a:off x="9886949" y="212407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742950</xdr:colOff>
      <xdr:row>2</xdr:row>
      <xdr:rowOff>57150</xdr:rowOff>
    </xdr:from>
    <xdr:to>
      <xdr:col>12</xdr:col>
      <xdr:colOff>590550</xdr:colOff>
      <xdr:row>5</xdr:row>
      <xdr:rowOff>66675</xdr:rowOff>
    </xdr:to>
    <xdr:pic>
      <xdr:nvPicPr>
        <xdr:cNvPr id="2" name="Picture 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00950" y="476250"/>
          <a:ext cx="2133600" cy="581025"/>
        </a:xfrm>
        <a:prstGeom prst="rect">
          <a:avLst/>
        </a:prstGeom>
        <a:noFill/>
        <a:ln w="9525">
          <a:noFill/>
          <a:miter lim="800000"/>
          <a:headEnd/>
          <a:tailEnd/>
        </a:ln>
      </xdr:spPr>
    </xdr:pic>
    <xdr:clientData/>
  </xdr:twoCellAnchor>
  <xdr:twoCellAnchor editAs="oneCell">
    <xdr:from>
      <xdr:col>13</xdr:col>
      <xdr:colOff>409575</xdr:colOff>
      <xdr:row>1</xdr:row>
      <xdr:rowOff>66675</xdr:rowOff>
    </xdr:from>
    <xdr:to>
      <xdr:col>18</xdr:col>
      <xdr:colOff>523875</xdr:colOff>
      <xdr:row>6</xdr:row>
      <xdr:rowOff>114300</xdr:rowOff>
    </xdr:to>
    <xdr:pic>
      <xdr:nvPicPr>
        <xdr:cNvPr id="3" name="Picture 5">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315575" y="295275"/>
          <a:ext cx="3924300" cy="1000125"/>
        </a:xfrm>
        <a:prstGeom prst="rect">
          <a:avLst/>
        </a:prstGeom>
        <a:noFill/>
        <a:ln w="9525">
          <a:noFill/>
          <a:miter lim="800000"/>
          <a:headEnd/>
          <a:tailEnd/>
        </a:ln>
      </xdr:spPr>
    </xdr:pic>
    <xdr:clientData/>
  </xdr:twoCellAnchor>
  <xdr:twoCellAnchor editAs="oneCell">
    <xdr:from>
      <xdr:col>10</xdr:col>
      <xdr:colOff>0</xdr:colOff>
      <xdr:row>9</xdr:row>
      <xdr:rowOff>0</xdr:rowOff>
    </xdr:from>
    <xdr:to>
      <xdr:col>19</xdr:col>
      <xdr:colOff>609844</xdr:colOff>
      <xdr:row>38</xdr:row>
      <xdr:rowOff>80860</xdr:rowOff>
    </xdr:to>
    <xdr:pic>
      <xdr:nvPicPr>
        <xdr:cNvPr id="4" name="Picture 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620000" y="1790700"/>
          <a:ext cx="7467844" cy="5605360"/>
        </a:xfrm>
        <a:prstGeom prst="rect">
          <a:avLst/>
        </a:prstGeom>
        <a:noFill/>
        <a:ln w="9525">
          <a:noFill/>
          <a:miter lim="800000"/>
          <a:headEnd/>
          <a:tailEnd/>
        </a:ln>
      </xdr:spPr>
    </xdr:pic>
    <xdr:clientData/>
  </xdr:twoCellAnchor>
  <xdr:twoCellAnchor editAs="oneCell">
    <xdr:from>
      <xdr:col>20</xdr:col>
      <xdr:colOff>742950</xdr:colOff>
      <xdr:row>1</xdr:row>
      <xdr:rowOff>104775</xdr:rowOff>
    </xdr:from>
    <xdr:to>
      <xdr:col>30</xdr:col>
      <xdr:colOff>418188</xdr:colOff>
      <xdr:row>14</xdr:row>
      <xdr:rowOff>152080</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stretch>
          <a:fillRect/>
        </a:stretch>
      </xdr:blipFill>
      <xdr:spPr>
        <a:xfrm>
          <a:off x="15982950" y="333375"/>
          <a:ext cx="7295238" cy="2561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47625</xdr:colOff>
      <xdr:row>17</xdr:row>
      <xdr:rowOff>133350</xdr:rowOff>
    </xdr:from>
    <xdr:to>
      <xdr:col>18</xdr:col>
      <xdr:colOff>456694</xdr:colOff>
      <xdr:row>23</xdr:row>
      <xdr:rowOff>31750</xdr:rowOff>
    </xdr:to>
    <xdr:pic>
      <xdr:nvPicPr>
        <xdr:cNvPr id="2" name="Picture 1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6950" y="2800350"/>
          <a:ext cx="6505069"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9525</xdr:colOff>
      <xdr:row>4</xdr:row>
      <xdr:rowOff>47626</xdr:rowOff>
    </xdr:from>
    <xdr:to>
      <xdr:col>12</xdr:col>
      <xdr:colOff>657225</xdr:colOff>
      <xdr:row>8</xdr:row>
      <xdr:rowOff>123438</xdr:rowOff>
    </xdr:to>
    <xdr:pic>
      <xdr:nvPicPr>
        <xdr:cNvPr id="2" name="Picture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67500" y="809626"/>
          <a:ext cx="3790950" cy="837812"/>
        </a:xfrm>
        <a:prstGeom prst="rect">
          <a:avLst/>
        </a:prstGeom>
        <a:noFill/>
        <a:ln w="9525">
          <a:noFill/>
          <a:miter lim="800000"/>
          <a:headEnd/>
          <a:tailEnd/>
        </a:ln>
      </xdr:spPr>
    </xdr:pic>
    <xdr:clientData/>
  </xdr:twoCellAnchor>
  <xdr:twoCellAnchor editAs="oneCell">
    <xdr:from>
      <xdr:col>9</xdr:col>
      <xdr:colOff>9526</xdr:colOff>
      <xdr:row>8</xdr:row>
      <xdr:rowOff>123826</xdr:rowOff>
    </xdr:from>
    <xdr:to>
      <xdr:col>11</xdr:col>
      <xdr:colOff>180326</xdr:colOff>
      <xdr:row>11</xdr:row>
      <xdr:rowOff>104776</xdr:rowOff>
    </xdr:to>
    <xdr:pic>
      <xdr:nvPicPr>
        <xdr:cNvPr id="3" name="Picture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67501" y="1647826"/>
          <a:ext cx="2266300" cy="552450"/>
        </a:xfrm>
        <a:prstGeom prst="rect">
          <a:avLst/>
        </a:prstGeom>
        <a:noFill/>
        <a:ln w="9525">
          <a:noFill/>
          <a:miter lim="800000"/>
          <a:headEnd/>
          <a:tailEnd/>
        </a:ln>
      </xdr:spPr>
    </xdr:pic>
    <xdr:clientData/>
  </xdr:twoCellAnchor>
  <xdr:twoCellAnchor editAs="oneCell">
    <xdr:from>
      <xdr:col>9</xdr:col>
      <xdr:colOff>9526</xdr:colOff>
      <xdr:row>11</xdr:row>
      <xdr:rowOff>104777</xdr:rowOff>
    </xdr:from>
    <xdr:to>
      <xdr:col>14</xdr:col>
      <xdr:colOff>85726</xdr:colOff>
      <xdr:row>14</xdr:row>
      <xdr:rowOff>88340</xdr:rowOff>
    </xdr:to>
    <xdr:pic>
      <xdr:nvPicPr>
        <xdr:cNvPr id="4" name="Picture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667501" y="2200277"/>
          <a:ext cx="5029200" cy="55506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9525</xdr:colOff>
      <xdr:row>4</xdr:row>
      <xdr:rowOff>47626</xdr:rowOff>
    </xdr:from>
    <xdr:to>
      <xdr:col>12</xdr:col>
      <xdr:colOff>657225</xdr:colOff>
      <xdr:row>8</xdr:row>
      <xdr:rowOff>123438</xdr:rowOff>
    </xdr:to>
    <xdr:pic>
      <xdr:nvPicPr>
        <xdr:cNvPr id="2" name="Picture 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67500" y="809626"/>
          <a:ext cx="3790950" cy="837812"/>
        </a:xfrm>
        <a:prstGeom prst="rect">
          <a:avLst/>
        </a:prstGeom>
        <a:noFill/>
        <a:ln w="9525">
          <a:noFill/>
          <a:miter lim="800000"/>
          <a:headEnd/>
          <a:tailEnd/>
        </a:ln>
      </xdr:spPr>
    </xdr:pic>
    <xdr:clientData/>
  </xdr:twoCellAnchor>
  <xdr:twoCellAnchor editAs="oneCell">
    <xdr:from>
      <xdr:col>9</xdr:col>
      <xdr:colOff>9526</xdr:colOff>
      <xdr:row>8</xdr:row>
      <xdr:rowOff>123826</xdr:rowOff>
    </xdr:from>
    <xdr:to>
      <xdr:col>11</xdr:col>
      <xdr:colOff>180326</xdr:colOff>
      <xdr:row>11</xdr:row>
      <xdr:rowOff>104776</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67501" y="1647826"/>
          <a:ext cx="2266300" cy="552450"/>
        </a:xfrm>
        <a:prstGeom prst="rect">
          <a:avLst/>
        </a:prstGeom>
        <a:noFill/>
        <a:ln w="9525">
          <a:noFill/>
          <a:miter lim="800000"/>
          <a:headEnd/>
          <a:tailEnd/>
        </a:ln>
      </xdr:spPr>
    </xdr:pic>
    <xdr:clientData/>
  </xdr:twoCellAnchor>
  <xdr:twoCellAnchor editAs="oneCell">
    <xdr:from>
      <xdr:col>9</xdr:col>
      <xdr:colOff>9526</xdr:colOff>
      <xdr:row>11</xdr:row>
      <xdr:rowOff>104777</xdr:rowOff>
    </xdr:from>
    <xdr:to>
      <xdr:col>14</xdr:col>
      <xdr:colOff>85726</xdr:colOff>
      <xdr:row>14</xdr:row>
      <xdr:rowOff>88340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667501" y="2200277"/>
          <a:ext cx="5029200" cy="55506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9525</xdr:colOff>
      <xdr:row>4</xdr:row>
      <xdr:rowOff>47626</xdr:rowOff>
    </xdr:from>
    <xdr:to>
      <xdr:col>12</xdr:col>
      <xdr:colOff>657225</xdr:colOff>
      <xdr:row>8</xdr:row>
      <xdr:rowOff>123438</xdr:rowOff>
    </xdr:to>
    <xdr:pic>
      <xdr:nvPicPr>
        <xdr:cNvPr id="2" name="Picture 2">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67500" y="809626"/>
          <a:ext cx="3790950" cy="837812"/>
        </a:xfrm>
        <a:prstGeom prst="rect">
          <a:avLst/>
        </a:prstGeom>
        <a:noFill/>
        <a:ln w="9525">
          <a:noFill/>
          <a:miter lim="800000"/>
          <a:headEnd/>
          <a:tailEnd/>
        </a:ln>
      </xdr:spPr>
    </xdr:pic>
    <xdr:clientData/>
  </xdr:twoCellAnchor>
  <xdr:twoCellAnchor editAs="oneCell">
    <xdr:from>
      <xdr:col>9</xdr:col>
      <xdr:colOff>9526</xdr:colOff>
      <xdr:row>8</xdr:row>
      <xdr:rowOff>123826</xdr:rowOff>
    </xdr:from>
    <xdr:to>
      <xdr:col>11</xdr:col>
      <xdr:colOff>180326</xdr:colOff>
      <xdr:row>11</xdr:row>
      <xdr:rowOff>104776</xdr:rowOff>
    </xdr:to>
    <xdr:pic>
      <xdr:nvPicPr>
        <xdr:cNvPr id="3" name="Picture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67501" y="1647826"/>
          <a:ext cx="2266300" cy="552450"/>
        </a:xfrm>
        <a:prstGeom prst="rect">
          <a:avLst/>
        </a:prstGeom>
        <a:noFill/>
        <a:ln w="9525">
          <a:noFill/>
          <a:miter lim="800000"/>
          <a:headEnd/>
          <a:tailEnd/>
        </a:ln>
      </xdr:spPr>
    </xdr:pic>
    <xdr:clientData/>
  </xdr:twoCellAnchor>
  <xdr:twoCellAnchor editAs="oneCell">
    <xdr:from>
      <xdr:col>9</xdr:col>
      <xdr:colOff>9526</xdr:colOff>
      <xdr:row>11</xdr:row>
      <xdr:rowOff>104777</xdr:rowOff>
    </xdr:from>
    <xdr:to>
      <xdr:col>14</xdr:col>
      <xdr:colOff>85726</xdr:colOff>
      <xdr:row>14</xdr:row>
      <xdr:rowOff>88340</xdr:rowOff>
    </xdr:to>
    <xdr:pic>
      <xdr:nvPicPr>
        <xdr:cNvPr id="4" name="Picture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667501" y="2200277"/>
          <a:ext cx="5029200" cy="555063"/>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6</xdr:row>
          <xdr:rowOff>9525</xdr:rowOff>
        </xdr:from>
        <xdr:to>
          <xdr:col>10</xdr:col>
          <xdr:colOff>428625</xdr:colOff>
          <xdr:row>8</xdr:row>
          <xdr:rowOff>28575</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9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Segoe UI"/>
                  <a:cs typeface="Segoe UI"/>
                </a:rPr>
                <a:t>Ventilated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6</xdr:row>
          <xdr:rowOff>9525</xdr:rowOff>
        </xdr:from>
        <xdr:to>
          <xdr:col>12</xdr:col>
          <xdr:colOff>257175</xdr:colOff>
          <xdr:row>8</xdr:row>
          <xdr:rowOff>28575</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9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Segoe UI"/>
                  <a:cs typeface="Segoe UI"/>
                </a:rPr>
                <a:t>Open metal tray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6</xdr:row>
          <xdr:rowOff>9525</xdr:rowOff>
        </xdr:from>
        <xdr:to>
          <xdr:col>13</xdr:col>
          <xdr:colOff>800100</xdr:colOff>
          <xdr:row>8</xdr:row>
          <xdr:rowOff>28575</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9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Segoe UI"/>
                  <a:cs typeface="Segoe UI"/>
                </a:rPr>
                <a:t>Closed pathway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11</xdr:row>
          <xdr:rowOff>28575</xdr:rowOff>
        </xdr:from>
        <xdr:to>
          <xdr:col>13</xdr:col>
          <xdr:colOff>800100</xdr:colOff>
          <xdr:row>13</xdr:row>
          <xdr:rowOff>47625</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9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Segoe UI"/>
                  <a:cs typeface="Segoe UI"/>
                </a:rPr>
                <a:t>With insulation</a:t>
              </a:r>
            </a:p>
          </xdr:txBody>
        </xdr:sp>
        <xdr:clientData/>
      </xdr:twoCellAnchor>
    </mc:Choice>
    <mc:Fallback/>
  </mc:AlternateContent>
  <xdr:twoCellAnchor editAs="oneCell">
    <xdr:from>
      <xdr:col>9</xdr:col>
      <xdr:colOff>29536</xdr:colOff>
      <xdr:row>3</xdr:row>
      <xdr:rowOff>38100</xdr:rowOff>
    </xdr:from>
    <xdr:to>
      <xdr:col>9</xdr:col>
      <xdr:colOff>837499</xdr:colOff>
      <xdr:row>5</xdr:row>
      <xdr:rowOff>109708</xdr:rowOff>
    </xdr:to>
    <xdr:pic>
      <xdr:nvPicPr>
        <xdr:cNvPr id="7" name="Picture 14">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8059111" y="609600"/>
          <a:ext cx="807963" cy="452608"/>
        </a:xfrm>
        <a:prstGeom prst="rect">
          <a:avLst/>
        </a:prstGeom>
      </xdr:spPr>
    </xdr:pic>
    <xdr:clientData/>
  </xdr:twoCellAnchor>
  <xdr:twoCellAnchor editAs="oneCell">
    <xdr:from>
      <xdr:col>10</xdr:col>
      <xdr:colOff>809625</xdr:colOff>
      <xdr:row>3</xdr:row>
      <xdr:rowOff>6803</xdr:rowOff>
    </xdr:from>
    <xdr:to>
      <xdr:col>11</xdr:col>
      <xdr:colOff>836439</xdr:colOff>
      <xdr:row>5</xdr:row>
      <xdr:rowOff>187967</xdr:rowOff>
    </xdr:to>
    <xdr:pic>
      <xdr:nvPicPr>
        <xdr:cNvPr id="8" name="Picture 16">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2"/>
        <a:stretch>
          <a:fillRect/>
        </a:stretch>
      </xdr:blipFill>
      <xdr:spPr>
        <a:xfrm>
          <a:off x="9686925" y="578303"/>
          <a:ext cx="868189" cy="562164"/>
        </a:xfrm>
        <a:prstGeom prst="rect">
          <a:avLst/>
        </a:prstGeom>
      </xdr:spPr>
    </xdr:pic>
    <xdr:clientData/>
  </xdr:twoCellAnchor>
  <xdr:twoCellAnchor editAs="oneCell">
    <xdr:from>
      <xdr:col>12</xdr:col>
      <xdr:colOff>38100</xdr:colOff>
      <xdr:row>18</xdr:row>
      <xdr:rowOff>19049</xdr:rowOff>
    </xdr:from>
    <xdr:to>
      <xdr:col>13</xdr:col>
      <xdr:colOff>857025</xdr:colOff>
      <xdr:row>22</xdr:row>
      <xdr:rowOff>169693</xdr:rowOff>
    </xdr:to>
    <xdr:grpSp>
      <xdr:nvGrpSpPr>
        <xdr:cNvPr id="610" name="Groupe 609">
          <a:extLst>
            <a:ext uri="{FF2B5EF4-FFF2-40B4-BE49-F238E27FC236}">
              <a16:creationId xmlns:a16="http://schemas.microsoft.com/office/drawing/2014/main" id="{00000000-0008-0000-0900-000062020000}"/>
            </a:ext>
          </a:extLst>
        </xdr:cNvPr>
        <xdr:cNvGrpSpPr>
          <a:grpSpLocks noChangeAspect="1"/>
        </xdr:cNvGrpSpPr>
      </xdr:nvGrpSpPr>
      <xdr:grpSpPr>
        <a:xfrm>
          <a:off x="10727267" y="4210049"/>
          <a:ext cx="1803175" cy="912644"/>
          <a:chOff x="8345365" y="4571999"/>
          <a:chExt cx="1800000" cy="903119"/>
        </a:xfrm>
      </xdr:grpSpPr>
      <xdr:cxnSp macro="">
        <xdr:nvCxnSpPr>
          <xdr:cNvPr id="478" name="Connecteur droit 477">
            <a:extLst>
              <a:ext uri="{FF2B5EF4-FFF2-40B4-BE49-F238E27FC236}">
                <a16:creationId xmlns:a16="http://schemas.microsoft.com/office/drawing/2014/main" id="{00000000-0008-0000-0900-0000DE010000}"/>
              </a:ext>
            </a:extLst>
          </xdr:cNvPr>
          <xdr:cNvCxnSpPr/>
        </xdr:nvCxnSpPr>
        <xdr:spPr>
          <a:xfrm flipH="1">
            <a:off x="10140259" y="4571999"/>
            <a:ext cx="0" cy="900000"/>
          </a:xfrm>
          <a:prstGeom prst="lin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477" name="Connecteur droit 476">
            <a:extLst>
              <a:ext uri="{FF2B5EF4-FFF2-40B4-BE49-F238E27FC236}">
                <a16:creationId xmlns:a16="http://schemas.microsoft.com/office/drawing/2014/main" id="{00000000-0008-0000-0900-0000DD010000}"/>
              </a:ext>
            </a:extLst>
          </xdr:cNvPr>
          <xdr:cNvCxnSpPr/>
        </xdr:nvCxnSpPr>
        <xdr:spPr>
          <a:xfrm>
            <a:off x="8350488" y="4571999"/>
            <a:ext cx="0" cy="900000"/>
          </a:xfrm>
          <a:prstGeom prst="lin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cxnSp>
      <xdr:grpSp>
        <xdr:nvGrpSpPr>
          <xdr:cNvPr id="468" name="Groupe 467">
            <a:extLst>
              <a:ext uri="{FF2B5EF4-FFF2-40B4-BE49-F238E27FC236}">
                <a16:creationId xmlns:a16="http://schemas.microsoft.com/office/drawing/2014/main" id="{00000000-0008-0000-0900-0000D4010000}"/>
              </a:ext>
            </a:extLst>
          </xdr:cNvPr>
          <xdr:cNvGrpSpPr/>
        </xdr:nvGrpSpPr>
        <xdr:grpSpPr>
          <a:xfrm>
            <a:off x="8345365" y="5074444"/>
            <a:ext cx="1800000" cy="400674"/>
            <a:chOff x="8343900" y="5074444"/>
            <a:chExt cx="1800000" cy="400674"/>
          </a:xfrm>
        </xdr:grpSpPr>
        <xdr:grpSp>
          <xdr:nvGrpSpPr>
            <xdr:cNvPr id="467" name="Groupe 466">
              <a:extLst>
                <a:ext uri="{FF2B5EF4-FFF2-40B4-BE49-F238E27FC236}">
                  <a16:creationId xmlns:a16="http://schemas.microsoft.com/office/drawing/2014/main" id="{00000000-0008-0000-0900-0000D3010000}"/>
                </a:ext>
              </a:extLst>
            </xdr:cNvPr>
            <xdr:cNvGrpSpPr/>
          </xdr:nvGrpSpPr>
          <xdr:grpSpPr>
            <a:xfrm>
              <a:off x="8367712" y="5138738"/>
              <a:ext cx="474434" cy="329174"/>
              <a:chOff x="8367712" y="5143500"/>
              <a:chExt cx="474434" cy="329174"/>
            </a:xfrm>
          </xdr:grpSpPr>
          <xdr:sp macro="" textlink="">
            <xdr:nvSpPr>
              <xdr:cNvPr id="582" name="Ellipse 581">
                <a:extLst>
                  <a:ext uri="{FF2B5EF4-FFF2-40B4-BE49-F238E27FC236}">
                    <a16:creationId xmlns:a16="http://schemas.microsoft.com/office/drawing/2014/main" id="{00000000-0008-0000-0900-000046020000}"/>
                  </a:ext>
                </a:extLst>
              </xdr:cNvPr>
              <xdr:cNvSpPr/>
            </xdr:nvSpPr>
            <xdr:spPr>
              <a:xfrm>
                <a:off x="8442165"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83" name="Ellipse 582">
                <a:extLst>
                  <a:ext uri="{FF2B5EF4-FFF2-40B4-BE49-F238E27FC236}">
                    <a16:creationId xmlns:a16="http://schemas.microsoft.com/office/drawing/2014/main" id="{00000000-0008-0000-0900-000047020000}"/>
                  </a:ext>
                </a:extLst>
              </xdr:cNvPr>
              <xdr:cNvSpPr/>
            </xdr:nvSpPr>
            <xdr:spPr>
              <a:xfrm>
                <a:off x="8515507"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84" name="Ellipse 583">
                <a:extLst>
                  <a:ext uri="{FF2B5EF4-FFF2-40B4-BE49-F238E27FC236}">
                    <a16:creationId xmlns:a16="http://schemas.microsoft.com/office/drawing/2014/main" id="{00000000-0008-0000-0900-000048020000}"/>
                  </a:ext>
                </a:extLst>
              </xdr:cNvPr>
              <xdr:cNvSpPr/>
            </xdr:nvSpPr>
            <xdr:spPr>
              <a:xfrm>
                <a:off x="8368822"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85" name="Ellipse 584">
                <a:extLst>
                  <a:ext uri="{FF2B5EF4-FFF2-40B4-BE49-F238E27FC236}">
                    <a16:creationId xmlns:a16="http://schemas.microsoft.com/office/drawing/2014/main" id="{00000000-0008-0000-0900-000049020000}"/>
                  </a:ext>
                </a:extLst>
              </xdr:cNvPr>
              <xdr:cNvSpPr/>
            </xdr:nvSpPr>
            <xdr:spPr>
              <a:xfrm>
                <a:off x="8478360" y="520860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86" name="Ellipse 585">
                <a:extLst>
                  <a:ext uri="{FF2B5EF4-FFF2-40B4-BE49-F238E27FC236}">
                    <a16:creationId xmlns:a16="http://schemas.microsoft.com/office/drawing/2014/main" id="{00000000-0008-0000-0900-00004A020000}"/>
                  </a:ext>
                </a:extLst>
              </xdr:cNvPr>
              <xdr:cNvSpPr/>
            </xdr:nvSpPr>
            <xdr:spPr>
              <a:xfrm>
                <a:off x="8551702" y="520860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87" name="Ellipse 586">
                <a:extLst>
                  <a:ext uri="{FF2B5EF4-FFF2-40B4-BE49-F238E27FC236}">
                    <a16:creationId xmlns:a16="http://schemas.microsoft.com/office/drawing/2014/main" id="{00000000-0008-0000-0900-00004B020000}"/>
                  </a:ext>
                </a:extLst>
              </xdr:cNvPr>
              <xdr:cNvSpPr/>
            </xdr:nvSpPr>
            <xdr:spPr>
              <a:xfrm>
                <a:off x="8405017" y="520860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88" name="Ellipse 587">
                <a:extLst>
                  <a:ext uri="{FF2B5EF4-FFF2-40B4-BE49-F238E27FC236}">
                    <a16:creationId xmlns:a16="http://schemas.microsoft.com/office/drawing/2014/main" id="{00000000-0008-0000-0900-00004C020000}"/>
                  </a:ext>
                </a:extLst>
              </xdr:cNvPr>
              <xdr:cNvSpPr/>
            </xdr:nvSpPr>
            <xdr:spPr>
              <a:xfrm>
                <a:off x="8443117" y="539720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89" name="Ellipse 588">
                <a:extLst>
                  <a:ext uri="{FF2B5EF4-FFF2-40B4-BE49-F238E27FC236}">
                    <a16:creationId xmlns:a16="http://schemas.microsoft.com/office/drawing/2014/main" id="{00000000-0008-0000-0900-00004D020000}"/>
                  </a:ext>
                </a:extLst>
              </xdr:cNvPr>
              <xdr:cNvSpPr/>
            </xdr:nvSpPr>
            <xdr:spPr>
              <a:xfrm>
                <a:off x="8516460" y="539720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90" name="Ellipse 589">
                <a:extLst>
                  <a:ext uri="{FF2B5EF4-FFF2-40B4-BE49-F238E27FC236}">
                    <a16:creationId xmlns:a16="http://schemas.microsoft.com/office/drawing/2014/main" id="{00000000-0008-0000-0900-00004E020000}"/>
                  </a:ext>
                </a:extLst>
              </xdr:cNvPr>
              <xdr:cNvSpPr/>
            </xdr:nvSpPr>
            <xdr:spPr>
              <a:xfrm>
                <a:off x="8479312" y="533433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91" name="Ellipse 590">
                <a:extLst>
                  <a:ext uri="{FF2B5EF4-FFF2-40B4-BE49-F238E27FC236}">
                    <a16:creationId xmlns:a16="http://schemas.microsoft.com/office/drawing/2014/main" id="{00000000-0008-0000-0900-00004F020000}"/>
                  </a:ext>
                </a:extLst>
              </xdr:cNvPr>
              <xdr:cNvSpPr/>
            </xdr:nvSpPr>
            <xdr:spPr>
              <a:xfrm>
                <a:off x="8552222" y="533433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92" name="Ellipse 591">
                <a:extLst>
                  <a:ext uri="{FF2B5EF4-FFF2-40B4-BE49-F238E27FC236}">
                    <a16:creationId xmlns:a16="http://schemas.microsoft.com/office/drawing/2014/main" id="{00000000-0008-0000-0900-000050020000}"/>
                  </a:ext>
                </a:extLst>
              </xdr:cNvPr>
              <xdr:cNvSpPr/>
            </xdr:nvSpPr>
            <xdr:spPr>
              <a:xfrm>
                <a:off x="8405970" y="533433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93" name="Ellipse 592">
                <a:extLst>
                  <a:ext uri="{FF2B5EF4-FFF2-40B4-BE49-F238E27FC236}">
                    <a16:creationId xmlns:a16="http://schemas.microsoft.com/office/drawing/2014/main" id="{00000000-0008-0000-0900-000051020000}"/>
                  </a:ext>
                </a:extLst>
              </xdr:cNvPr>
              <xdr:cNvSpPr/>
            </xdr:nvSpPr>
            <xdr:spPr>
              <a:xfrm>
                <a:off x="8661759"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94" name="Ellipse 593">
                <a:extLst>
                  <a:ext uri="{FF2B5EF4-FFF2-40B4-BE49-F238E27FC236}">
                    <a16:creationId xmlns:a16="http://schemas.microsoft.com/office/drawing/2014/main" id="{00000000-0008-0000-0900-000052020000}"/>
                  </a:ext>
                </a:extLst>
              </xdr:cNvPr>
              <xdr:cNvSpPr/>
            </xdr:nvSpPr>
            <xdr:spPr>
              <a:xfrm>
                <a:off x="8735102"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95" name="Ellipse 594">
                <a:extLst>
                  <a:ext uri="{FF2B5EF4-FFF2-40B4-BE49-F238E27FC236}">
                    <a16:creationId xmlns:a16="http://schemas.microsoft.com/office/drawing/2014/main" id="{00000000-0008-0000-0900-000053020000}"/>
                  </a:ext>
                </a:extLst>
              </xdr:cNvPr>
              <xdr:cNvSpPr/>
            </xdr:nvSpPr>
            <xdr:spPr>
              <a:xfrm>
                <a:off x="8588850"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96" name="Ellipse 595">
                <a:extLst>
                  <a:ext uri="{FF2B5EF4-FFF2-40B4-BE49-F238E27FC236}">
                    <a16:creationId xmlns:a16="http://schemas.microsoft.com/office/drawing/2014/main" id="{00000000-0008-0000-0900-000054020000}"/>
                  </a:ext>
                </a:extLst>
              </xdr:cNvPr>
              <xdr:cNvSpPr/>
            </xdr:nvSpPr>
            <xdr:spPr>
              <a:xfrm>
                <a:off x="8698387" y="520860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97" name="Ellipse 596">
                <a:extLst>
                  <a:ext uri="{FF2B5EF4-FFF2-40B4-BE49-F238E27FC236}">
                    <a16:creationId xmlns:a16="http://schemas.microsoft.com/office/drawing/2014/main" id="{00000000-0008-0000-0900-000055020000}"/>
                  </a:ext>
                </a:extLst>
              </xdr:cNvPr>
              <xdr:cNvSpPr/>
            </xdr:nvSpPr>
            <xdr:spPr>
              <a:xfrm>
                <a:off x="8625045" y="520860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98" name="Ellipse 597">
                <a:extLst>
                  <a:ext uri="{FF2B5EF4-FFF2-40B4-BE49-F238E27FC236}">
                    <a16:creationId xmlns:a16="http://schemas.microsoft.com/office/drawing/2014/main" id="{00000000-0008-0000-0900-000056020000}"/>
                  </a:ext>
                </a:extLst>
              </xdr:cNvPr>
              <xdr:cNvSpPr/>
            </xdr:nvSpPr>
            <xdr:spPr>
              <a:xfrm>
                <a:off x="8663145" y="539720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99" name="Ellipse 598">
                <a:extLst>
                  <a:ext uri="{FF2B5EF4-FFF2-40B4-BE49-F238E27FC236}">
                    <a16:creationId xmlns:a16="http://schemas.microsoft.com/office/drawing/2014/main" id="{00000000-0008-0000-0900-000057020000}"/>
                  </a:ext>
                </a:extLst>
              </xdr:cNvPr>
              <xdr:cNvSpPr/>
            </xdr:nvSpPr>
            <xdr:spPr>
              <a:xfrm>
                <a:off x="8589802" y="539720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00" name="Ellipse 599">
                <a:extLst>
                  <a:ext uri="{FF2B5EF4-FFF2-40B4-BE49-F238E27FC236}">
                    <a16:creationId xmlns:a16="http://schemas.microsoft.com/office/drawing/2014/main" id="{00000000-0008-0000-0900-000058020000}"/>
                  </a:ext>
                </a:extLst>
              </xdr:cNvPr>
              <xdr:cNvSpPr/>
            </xdr:nvSpPr>
            <xdr:spPr>
              <a:xfrm>
                <a:off x="8698907" y="533433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01" name="Ellipse 600">
                <a:extLst>
                  <a:ext uri="{FF2B5EF4-FFF2-40B4-BE49-F238E27FC236}">
                    <a16:creationId xmlns:a16="http://schemas.microsoft.com/office/drawing/2014/main" id="{00000000-0008-0000-0900-000059020000}"/>
                  </a:ext>
                </a:extLst>
              </xdr:cNvPr>
              <xdr:cNvSpPr/>
            </xdr:nvSpPr>
            <xdr:spPr>
              <a:xfrm>
                <a:off x="8625564" y="533433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02" name="Ellipse 601">
                <a:extLst>
                  <a:ext uri="{FF2B5EF4-FFF2-40B4-BE49-F238E27FC236}">
                    <a16:creationId xmlns:a16="http://schemas.microsoft.com/office/drawing/2014/main" id="{00000000-0008-0000-0900-00005A020000}"/>
                  </a:ext>
                </a:extLst>
              </xdr:cNvPr>
              <xdr:cNvSpPr/>
            </xdr:nvSpPr>
            <xdr:spPr>
              <a:xfrm>
                <a:off x="8442403" y="514645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03" name="Ellipse 602">
                <a:extLst>
                  <a:ext uri="{FF2B5EF4-FFF2-40B4-BE49-F238E27FC236}">
                    <a16:creationId xmlns:a16="http://schemas.microsoft.com/office/drawing/2014/main" id="{00000000-0008-0000-0900-00005B020000}"/>
                  </a:ext>
                </a:extLst>
              </xdr:cNvPr>
              <xdr:cNvSpPr/>
            </xdr:nvSpPr>
            <xdr:spPr>
              <a:xfrm>
                <a:off x="8515746" y="514645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04" name="Ellipse 603">
                <a:extLst>
                  <a:ext uri="{FF2B5EF4-FFF2-40B4-BE49-F238E27FC236}">
                    <a16:creationId xmlns:a16="http://schemas.microsoft.com/office/drawing/2014/main" id="{00000000-0008-0000-0900-00005C020000}"/>
                  </a:ext>
                </a:extLst>
              </xdr:cNvPr>
              <xdr:cNvSpPr/>
            </xdr:nvSpPr>
            <xdr:spPr>
              <a:xfrm>
                <a:off x="8662431" y="514645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05" name="Ellipse 604">
                <a:extLst>
                  <a:ext uri="{FF2B5EF4-FFF2-40B4-BE49-F238E27FC236}">
                    <a16:creationId xmlns:a16="http://schemas.microsoft.com/office/drawing/2014/main" id="{00000000-0008-0000-0900-00005D020000}"/>
                  </a:ext>
                </a:extLst>
              </xdr:cNvPr>
              <xdr:cNvSpPr/>
            </xdr:nvSpPr>
            <xdr:spPr>
              <a:xfrm>
                <a:off x="8589088" y="514645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12" name="Ellipse 611">
                <a:extLst>
                  <a:ext uri="{FF2B5EF4-FFF2-40B4-BE49-F238E27FC236}">
                    <a16:creationId xmlns:a16="http://schemas.microsoft.com/office/drawing/2014/main" id="{00000000-0008-0000-0900-000064020000}"/>
                  </a:ext>
                </a:extLst>
              </xdr:cNvPr>
              <xdr:cNvSpPr/>
            </xdr:nvSpPr>
            <xdr:spPr>
              <a:xfrm>
                <a:off x="8368814" y="5395299"/>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13" name="Ellipse 612">
                <a:extLst>
                  <a:ext uri="{FF2B5EF4-FFF2-40B4-BE49-F238E27FC236}">
                    <a16:creationId xmlns:a16="http://schemas.microsoft.com/office/drawing/2014/main" id="{00000000-0008-0000-0900-000065020000}"/>
                  </a:ext>
                </a:extLst>
              </xdr:cNvPr>
              <xdr:cNvSpPr/>
            </xdr:nvSpPr>
            <xdr:spPr>
              <a:xfrm>
                <a:off x="8367712" y="5145880"/>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14" name="Ellipse 613">
                <a:extLst>
                  <a:ext uri="{FF2B5EF4-FFF2-40B4-BE49-F238E27FC236}">
                    <a16:creationId xmlns:a16="http://schemas.microsoft.com/office/drawing/2014/main" id="{00000000-0008-0000-0900-000066020000}"/>
                  </a:ext>
                </a:extLst>
              </xdr:cNvPr>
              <xdr:cNvSpPr/>
            </xdr:nvSpPr>
            <xdr:spPr>
              <a:xfrm>
                <a:off x="8734429" y="540067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15" name="Ellipse 614">
                <a:extLst>
                  <a:ext uri="{FF2B5EF4-FFF2-40B4-BE49-F238E27FC236}">
                    <a16:creationId xmlns:a16="http://schemas.microsoft.com/office/drawing/2014/main" id="{00000000-0008-0000-0900-000067020000}"/>
                  </a:ext>
                </a:extLst>
              </xdr:cNvPr>
              <xdr:cNvSpPr/>
            </xdr:nvSpPr>
            <xdr:spPr>
              <a:xfrm>
                <a:off x="8734425" y="5143500"/>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16" name="Ellipse 615">
                <a:extLst>
                  <a:ext uri="{FF2B5EF4-FFF2-40B4-BE49-F238E27FC236}">
                    <a16:creationId xmlns:a16="http://schemas.microsoft.com/office/drawing/2014/main" id="{00000000-0008-0000-0900-000068020000}"/>
                  </a:ext>
                </a:extLst>
              </xdr:cNvPr>
              <xdr:cNvSpPr/>
            </xdr:nvSpPr>
            <xdr:spPr>
              <a:xfrm>
                <a:off x="8770146" y="520779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17" name="Ellipse 616">
                <a:extLst>
                  <a:ext uri="{FF2B5EF4-FFF2-40B4-BE49-F238E27FC236}">
                    <a16:creationId xmlns:a16="http://schemas.microsoft.com/office/drawing/2014/main" id="{00000000-0008-0000-0900-000069020000}"/>
                  </a:ext>
                </a:extLst>
              </xdr:cNvPr>
              <xdr:cNvSpPr/>
            </xdr:nvSpPr>
            <xdr:spPr>
              <a:xfrm>
                <a:off x="8770145" y="5338762"/>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grpSp>
          <xdr:nvGrpSpPr>
            <xdr:cNvPr id="619" name="Groupe 618">
              <a:extLst>
                <a:ext uri="{FF2B5EF4-FFF2-40B4-BE49-F238E27FC236}">
                  <a16:creationId xmlns:a16="http://schemas.microsoft.com/office/drawing/2014/main" id="{00000000-0008-0000-0900-00006B020000}"/>
                </a:ext>
              </a:extLst>
            </xdr:cNvPr>
            <xdr:cNvGrpSpPr/>
          </xdr:nvGrpSpPr>
          <xdr:grpSpPr>
            <a:xfrm>
              <a:off x="8805865" y="5138738"/>
              <a:ext cx="474434" cy="329174"/>
              <a:chOff x="8367712" y="5143500"/>
              <a:chExt cx="474434" cy="329174"/>
            </a:xfrm>
          </xdr:grpSpPr>
          <xdr:sp macro="" textlink="">
            <xdr:nvSpPr>
              <xdr:cNvPr id="620" name="Ellipse 619">
                <a:extLst>
                  <a:ext uri="{FF2B5EF4-FFF2-40B4-BE49-F238E27FC236}">
                    <a16:creationId xmlns:a16="http://schemas.microsoft.com/office/drawing/2014/main" id="{00000000-0008-0000-0900-00006C020000}"/>
                  </a:ext>
                </a:extLst>
              </xdr:cNvPr>
              <xdr:cNvSpPr/>
            </xdr:nvSpPr>
            <xdr:spPr>
              <a:xfrm>
                <a:off x="8442165"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21" name="Ellipse 620">
                <a:extLst>
                  <a:ext uri="{FF2B5EF4-FFF2-40B4-BE49-F238E27FC236}">
                    <a16:creationId xmlns:a16="http://schemas.microsoft.com/office/drawing/2014/main" id="{00000000-0008-0000-0900-00006D020000}"/>
                  </a:ext>
                </a:extLst>
              </xdr:cNvPr>
              <xdr:cNvSpPr/>
            </xdr:nvSpPr>
            <xdr:spPr>
              <a:xfrm>
                <a:off x="8515507"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22" name="Ellipse 621">
                <a:extLst>
                  <a:ext uri="{FF2B5EF4-FFF2-40B4-BE49-F238E27FC236}">
                    <a16:creationId xmlns:a16="http://schemas.microsoft.com/office/drawing/2014/main" id="{00000000-0008-0000-0900-00006E020000}"/>
                  </a:ext>
                </a:extLst>
              </xdr:cNvPr>
              <xdr:cNvSpPr/>
            </xdr:nvSpPr>
            <xdr:spPr>
              <a:xfrm>
                <a:off x="8368822"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23" name="Ellipse 622">
                <a:extLst>
                  <a:ext uri="{FF2B5EF4-FFF2-40B4-BE49-F238E27FC236}">
                    <a16:creationId xmlns:a16="http://schemas.microsoft.com/office/drawing/2014/main" id="{00000000-0008-0000-0900-00006F020000}"/>
                  </a:ext>
                </a:extLst>
              </xdr:cNvPr>
              <xdr:cNvSpPr/>
            </xdr:nvSpPr>
            <xdr:spPr>
              <a:xfrm>
                <a:off x="8478360" y="520860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24" name="Ellipse 623">
                <a:extLst>
                  <a:ext uri="{FF2B5EF4-FFF2-40B4-BE49-F238E27FC236}">
                    <a16:creationId xmlns:a16="http://schemas.microsoft.com/office/drawing/2014/main" id="{00000000-0008-0000-0900-000070020000}"/>
                  </a:ext>
                </a:extLst>
              </xdr:cNvPr>
              <xdr:cNvSpPr/>
            </xdr:nvSpPr>
            <xdr:spPr>
              <a:xfrm>
                <a:off x="8551702" y="520860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25" name="Ellipse 624">
                <a:extLst>
                  <a:ext uri="{FF2B5EF4-FFF2-40B4-BE49-F238E27FC236}">
                    <a16:creationId xmlns:a16="http://schemas.microsoft.com/office/drawing/2014/main" id="{00000000-0008-0000-0900-000071020000}"/>
                  </a:ext>
                </a:extLst>
              </xdr:cNvPr>
              <xdr:cNvSpPr/>
            </xdr:nvSpPr>
            <xdr:spPr>
              <a:xfrm>
                <a:off x="8405017" y="520860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26" name="Ellipse 625">
                <a:extLst>
                  <a:ext uri="{FF2B5EF4-FFF2-40B4-BE49-F238E27FC236}">
                    <a16:creationId xmlns:a16="http://schemas.microsoft.com/office/drawing/2014/main" id="{00000000-0008-0000-0900-000072020000}"/>
                  </a:ext>
                </a:extLst>
              </xdr:cNvPr>
              <xdr:cNvSpPr/>
            </xdr:nvSpPr>
            <xdr:spPr>
              <a:xfrm>
                <a:off x="8443117" y="539720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27" name="Ellipse 626">
                <a:extLst>
                  <a:ext uri="{FF2B5EF4-FFF2-40B4-BE49-F238E27FC236}">
                    <a16:creationId xmlns:a16="http://schemas.microsoft.com/office/drawing/2014/main" id="{00000000-0008-0000-0900-000073020000}"/>
                  </a:ext>
                </a:extLst>
              </xdr:cNvPr>
              <xdr:cNvSpPr/>
            </xdr:nvSpPr>
            <xdr:spPr>
              <a:xfrm>
                <a:off x="8516460" y="539720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28" name="Ellipse 627">
                <a:extLst>
                  <a:ext uri="{FF2B5EF4-FFF2-40B4-BE49-F238E27FC236}">
                    <a16:creationId xmlns:a16="http://schemas.microsoft.com/office/drawing/2014/main" id="{00000000-0008-0000-0900-000074020000}"/>
                  </a:ext>
                </a:extLst>
              </xdr:cNvPr>
              <xdr:cNvSpPr/>
            </xdr:nvSpPr>
            <xdr:spPr>
              <a:xfrm>
                <a:off x="8479312" y="533433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29" name="Ellipse 628">
                <a:extLst>
                  <a:ext uri="{FF2B5EF4-FFF2-40B4-BE49-F238E27FC236}">
                    <a16:creationId xmlns:a16="http://schemas.microsoft.com/office/drawing/2014/main" id="{00000000-0008-0000-0900-000075020000}"/>
                  </a:ext>
                </a:extLst>
              </xdr:cNvPr>
              <xdr:cNvSpPr/>
            </xdr:nvSpPr>
            <xdr:spPr>
              <a:xfrm>
                <a:off x="8552222" y="533433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30" name="Ellipse 629">
                <a:extLst>
                  <a:ext uri="{FF2B5EF4-FFF2-40B4-BE49-F238E27FC236}">
                    <a16:creationId xmlns:a16="http://schemas.microsoft.com/office/drawing/2014/main" id="{00000000-0008-0000-0900-000076020000}"/>
                  </a:ext>
                </a:extLst>
              </xdr:cNvPr>
              <xdr:cNvSpPr/>
            </xdr:nvSpPr>
            <xdr:spPr>
              <a:xfrm>
                <a:off x="8405970" y="533433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31" name="Ellipse 630">
                <a:extLst>
                  <a:ext uri="{FF2B5EF4-FFF2-40B4-BE49-F238E27FC236}">
                    <a16:creationId xmlns:a16="http://schemas.microsoft.com/office/drawing/2014/main" id="{00000000-0008-0000-0900-000077020000}"/>
                  </a:ext>
                </a:extLst>
              </xdr:cNvPr>
              <xdr:cNvSpPr/>
            </xdr:nvSpPr>
            <xdr:spPr>
              <a:xfrm>
                <a:off x="8661759"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32" name="Ellipse 631">
                <a:extLst>
                  <a:ext uri="{FF2B5EF4-FFF2-40B4-BE49-F238E27FC236}">
                    <a16:creationId xmlns:a16="http://schemas.microsoft.com/office/drawing/2014/main" id="{00000000-0008-0000-0900-000078020000}"/>
                  </a:ext>
                </a:extLst>
              </xdr:cNvPr>
              <xdr:cNvSpPr/>
            </xdr:nvSpPr>
            <xdr:spPr>
              <a:xfrm>
                <a:off x="8735102"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33" name="Ellipse 632">
                <a:extLst>
                  <a:ext uri="{FF2B5EF4-FFF2-40B4-BE49-F238E27FC236}">
                    <a16:creationId xmlns:a16="http://schemas.microsoft.com/office/drawing/2014/main" id="{00000000-0008-0000-0900-000079020000}"/>
                  </a:ext>
                </a:extLst>
              </xdr:cNvPr>
              <xdr:cNvSpPr/>
            </xdr:nvSpPr>
            <xdr:spPr>
              <a:xfrm>
                <a:off x="8588850"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34" name="Ellipse 633">
                <a:extLst>
                  <a:ext uri="{FF2B5EF4-FFF2-40B4-BE49-F238E27FC236}">
                    <a16:creationId xmlns:a16="http://schemas.microsoft.com/office/drawing/2014/main" id="{00000000-0008-0000-0900-00007A020000}"/>
                  </a:ext>
                </a:extLst>
              </xdr:cNvPr>
              <xdr:cNvSpPr/>
            </xdr:nvSpPr>
            <xdr:spPr>
              <a:xfrm>
                <a:off x="8698387" y="520860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35" name="Ellipse 634">
                <a:extLst>
                  <a:ext uri="{FF2B5EF4-FFF2-40B4-BE49-F238E27FC236}">
                    <a16:creationId xmlns:a16="http://schemas.microsoft.com/office/drawing/2014/main" id="{00000000-0008-0000-0900-00007B020000}"/>
                  </a:ext>
                </a:extLst>
              </xdr:cNvPr>
              <xdr:cNvSpPr/>
            </xdr:nvSpPr>
            <xdr:spPr>
              <a:xfrm>
                <a:off x="8625045" y="520860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36" name="Ellipse 635">
                <a:extLst>
                  <a:ext uri="{FF2B5EF4-FFF2-40B4-BE49-F238E27FC236}">
                    <a16:creationId xmlns:a16="http://schemas.microsoft.com/office/drawing/2014/main" id="{00000000-0008-0000-0900-00007C020000}"/>
                  </a:ext>
                </a:extLst>
              </xdr:cNvPr>
              <xdr:cNvSpPr/>
            </xdr:nvSpPr>
            <xdr:spPr>
              <a:xfrm>
                <a:off x="8663145" y="539720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37" name="Ellipse 636">
                <a:extLst>
                  <a:ext uri="{FF2B5EF4-FFF2-40B4-BE49-F238E27FC236}">
                    <a16:creationId xmlns:a16="http://schemas.microsoft.com/office/drawing/2014/main" id="{00000000-0008-0000-0900-00007D020000}"/>
                  </a:ext>
                </a:extLst>
              </xdr:cNvPr>
              <xdr:cNvSpPr/>
            </xdr:nvSpPr>
            <xdr:spPr>
              <a:xfrm>
                <a:off x="8589802" y="539720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38" name="Ellipse 637">
                <a:extLst>
                  <a:ext uri="{FF2B5EF4-FFF2-40B4-BE49-F238E27FC236}">
                    <a16:creationId xmlns:a16="http://schemas.microsoft.com/office/drawing/2014/main" id="{00000000-0008-0000-0900-00007E020000}"/>
                  </a:ext>
                </a:extLst>
              </xdr:cNvPr>
              <xdr:cNvSpPr/>
            </xdr:nvSpPr>
            <xdr:spPr>
              <a:xfrm>
                <a:off x="8698907" y="533433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39" name="Ellipse 638">
                <a:extLst>
                  <a:ext uri="{FF2B5EF4-FFF2-40B4-BE49-F238E27FC236}">
                    <a16:creationId xmlns:a16="http://schemas.microsoft.com/office/drawing/2014/main" id="{00000000-0008-0000-0900-00007F020000}"/>
                  </a:ext>
                </a:extLst>
              </xdr:cNvPr>
              <xdr:cNvSpPr/>
            </xdr:nvSpPr>
            <xdr:spPr>
              <a:xfrm>
                <a:off x="8625564" y="533433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40" name="Ellipse 639">
                <a:extLst>
                  <a:ext uri="{FF2B5EF4-FFF2-40B4-BE49-F238E27FC236}">
                    <a16:creationId xmlns:a16="http://schemas.microsoft.com/office/drawing/2014/main" id="{00000000-0008-0000-0900-000080020000}"/>
                  </a:ext>
                </a:extLst>
              </xdr:cNvPr>
              <xdr:cNvSpPr/>
            </xdr:nvSpPr>
            <xdr:spPr>
              <a:xfrm>
                <a:off x="8442403" y="514645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41" name="Ellipse 640">
                <a:extLst>
                  <a:ext uri="{FF2B5EF4-FFF2-40B4-BE49-F238E27FC236}">
                    <a16:creationId xmlns:a16="http://schemas.microsoft.com/office/drawing/2014/main" id="{00000000-0008-0000-0900-000081020000}"/>
                  </a:ext>
                </a:extLst>
              </xdr:cNvPr>
              <xdr:cNvSpPr/>
            </xdr:nvSpPr>
            <xdr:spPr>
              <a:xfrm>
                <a:off x="8515746" y="514645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42" name="Ellipse 641">
                <a:extLst>
                  <a:ext uri="{FF2B5EF4-FFF2-40B4-BE49-F238E27FC236}">
                    <a16:creationId xmlns:a16="http://schemas.microsoft.com/office/drawing/2014/main" id="{00000000-0008-0000-0900-000082020000}"/>
                  </a:ext>
                </a:extLst>
              </xdr:cNvPr>
              <xdr:cNvSpPr/>
            </xdr:nvSpPr>
            <xdr:spPr>
              <a:xfrm>
                <a:off x="8662431" y="514645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43" name="Ellipse 642">
                <a:extLst>
                  <a:ext uri="{FF2B5EF4-FFF2-40B4-BE49-F238E27FC236}">
                    <a16:creationId xmlns:a16="http://schemas.microsoft.com/office/drawing/2014/main" id="{00000000-0008-0000-0900-000083020000}"/>
                  </a:ext>
                </a:extLst>
              </xdr:cNvPr>
              <xdr:cNvSpPr/>
            </xdr:nvSpPr>
            <xdr:spPr>
              <a:xfrm>
                <a:off x="8589088" y="514645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44" name="Ellipse 643">
                <a:extLst>
                  <a:ext uri="{FF2B5EF4-FFF2-40B4-BE49-F238E27FC236}">
                    <a16:creationId xmlns:a16="http://schemas.microsoft.com/office/drawing/2014/main" id="{00000000-0008-0000-0900-000084020000}"/>
                  </a:ext>
                </a:extLst>
              </xdr:cNvPr>
              <xdr:cNvSpPr/>
            </xdr:nvSpPr>
            <xdr:spPr>
              <a:xfrm>
                <a:off x="8368814" y="5395299"/>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45" name="Ellipse 644">
                <a:extLst>
                  <a:ext uri="{FF2B5EF4-FFF2-40B4-BE49-F238E27FC236}">
                    <a16:creationId xmlns:a16="http://schemas.microsoft.com/office/drawing/2014/main" id="{00000000-0008-0000-0900-000085020000}"/>
                  </a:ext>
                </a:extLst>
              </xdr:cNvPr>
              <xdr:cNvSpPr/>
            </xdr:nvSpPr>
            <xdr:spPr>
              <a:xfrm>
                <a:off x="8367712" y="5145880"/>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46" name="Ellipse 645">
                <a:extLst>
                  <a:ext uri="{FF2B5EF4-FFF2-40B4-BE49-F238E27FC236}">
                    <a16:creationId xmlns:a16="http://schemas.microsoft.com/office/drawing/2014/main" id="{00000000-0008-0000-0900-000086020000}"/>
                  </a:ext>
                </a:extLst>
              </xdr:cNvPr>
              <xdr:cNvSpPr/>
            </xdr:nvSpPr>
            <xdr:spPr>
              <a:xfrm>
                <a:off x="8734429" y="540067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47" name="Ellipse 646">
                <a:extLst>
                  <a:ext uri="{FF2B5EF4-FFF2-40B4-BE49-F238E27FC236}">
                    <a16:creationId xmlns:a16="http://schemas.microsoft.com/office/drawing/2014/main" id="{00000000-0008-0000-0900-000087020000}"/>
                  </a:ext>
                </a:extLst>
              </xdr:cNvPr>
              <xdr:cNvSpPr/>
            </xdr:nvSpPr>
            <xdr:spPr>
              <a:xfrm>
                <a:off x="8734425" y="5143500"/>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48" name="Ellipse 647">
                <a:extLst>
                  <a:ext uri="{FF2B5EF4-FFF2-40B4-BE49-F238E27FC236}">
                    <a16:creationId xmlns:a16="http://schemas.microsoft.com/office/drawing/2014/main" id="{00000000-0008-0000-0900-000088020000}"/>
                  </a:ext>
                </a:extLst>
              </xdr:cNvPr>
              <xdr:cNvSpPr/>
            </xdr:nvSpPr>
            <xdr:spPr>
              <a:xfrm>
                <a:off x="8770146" y="520779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49" name="Ellipse 648">
                <a:extLst>
                  <a:ext uri="{FF2B5EF4-FFF2-40B4-BE49-F238E27FC236}">
                    <a16:creationId xmlns:a16="http://schemas.microsoft.com/office/drawing/2014/main" id="{00000000-0008-0000-0900-000089020000}"/>
                  </a:ext>
                </a:extLst>
              </xdr:cNvPr>
              <xdr:cNvSpPr/>
            </xdr:nvSpPr>
            <xdr:spPr>
              <a:xfrm>
                <a:off x="8770145" y="5338762"/>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grpSp>
          <xdr:nvGrpSpPr>
            <xdr:cNvPr id="650" name="Groupe 649">
              <a:extLst>
                <a:ext uri="{FF2B5EF4-FFF2-40B4-BE49-F238E27FC236}">
                  <a16:creationId xmlns:a16="http://schemas.microsoft.com/office/drawing/2014/main" id="{00000000-0008-0000-0900-00008A020000}"/>
                </a:ext>
              </a:extLst>
            </xdr:cNvPr>
            <xdr:cNvGrpSpPr/>
          </xdr:nvGrpSpPr>
          <xdr:grpSpPr>
            <a:xfrm>
              <a:off x="9244016" y="5138739"/>
              <a:ext cx="474434" cy="329174"/>
              <a:chOff x="8367712" y="5143500"/>
              <a:chExt cx="474434" cy="329174"/>
            </a:xfrm>
          </xdr:grpSpPr>
          <xdr:sp macro="" textlink="">
            <xdr:nvSpPr>
              <xdr:cNvPr id="651" name="Ellipse 650">
                <a:extLst>
                  <a:ext uri="{FF2B5EF4-FFF2-40B4-BE49-F238E27FC236}">
                    <a16:creationId xmlns:a16="http://schemas.microsoft.com/office/drawing/2014/main" id="{00000000-0008-0000-0900-00008B020000}"/>
                  </a:ext>
                </a:extLst>
              </xdr:cNvPr>
              <xdr:cNvSpPr/>
            </xdr:nvSpPr>
            <xdr:spPr>
              <a:xfrm>
                <a:off x="8442165"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52" name="Ellipse 651">
                <a:extLst>
                  <a:ext uri="{FF2B5EF4-FFF2-40B4-BE49-F238E27FC236}">
                    <a16:creationId xmlns:a16="http://schemas.microsoft.com/office/drawing/2014/main" id="{00000000-0008-0000-0900-00008C020000}"/>
                  </a:ext>
                </a:extLst>
              </xdr:cNvPr>
              <xdr:cNvSpPr/>
            </xdr:nvSpPr>
            <xdr:spPr>
              <a:xfrm>
                <a:off x="8515507"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53" name="Ellipse 652">
                <a:extLst>
                  <a:ext uri="{FF2B5EF4-FFF2-40B4-BE49-F238E27FC236}">
                    <a16:creationId xmlns:a16="http://schemas.microsoft.com/office/drawing/2014/main" id="{00000000-0008-0000-0900-00008D020000}"/>
                  </a:ext>
                </a:extLst>
              </xdr:cNvPr>
              <xdr:cNvSpPr/>
            </xdr:nvSpPr>
            <xdr:spPr>
              <a:xfrm>
                <a:off x="8368822"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54" name="Ellipse 653">
                <a:extLst>
                  <a:ext uri="{FF2B5EF4-FFF2-40B4-BE49-F238E27FC236}">
                    <a16:creationId xmlns:a16="http://schemas.microsoft.com/office/drawing/2014/main" id="{00000000-0008-0000-0900-00008E020000}"/>
                  </a:ext>
                </a:extLst>
              </xdr:cNvPr>
              <xdr:cNvSpPr/>
            </xdr:nvSpPr>
            <xdr:spPr>
              <a:xfrm>
                <a:off x="8478360" y="520860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55" name="Ellipse 654">
                <a:extLst>
                  <a:ext uri="{FF2B5EF4-FFF2-40B4-BE49-F238E27FC236}">
                    <a16:creationId xmlns:a16="http://schemas.microsoft.com/office/drawing/2014/main" id="{00000000-0008-0000-0900-00008F020000}"/>
                  </a:ext>
                </a:extLst>
              </xdr:cNvPr>
              <xdr:cNvSpPr/>
            </xdr:nvSpPr>
            <xdr:spPr>
              <a:xfrm>
                <a:off x="8551702" y="520860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56" name="Ellipse 655">
                <a:extLst>
                  <a:ext uri="{FF2B5EF4-FFF2-40B4-BE49-F238E27FC236}">
                    <a16:creationId xmlns:a16="http://schemas.microsoft.com/office/drawing/2014/main" id="{00000000-0008-0000-0900-000090020000}"/>
                  </a:ext>
                </a:extLst>
              </xdr:cNvPr>
              <xdr:cNvSpPr/>
            </xdr:nvSpPr>
            <xdr:spPr>
              <a:xfrm>
                <a:off x="8405017" y="520860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57" name="Ellipse 656">
                <a:extLst>
                  <a:ext uri="{FF2B5EF4-FFF2-40B4-BE49-F238E27FC236}">
                    <a16:creationId xmlns:a16="http://schemas.microsoft.com/office/drawing/2014/main" id="{00000000-0008-0000-0900-000091020000}"/>
                  </a:ext>
                </a:extLst>
              </xdr:cNvPr>
              <xdr:cNvSpPr/>
            </xdr:nvSpPr>
            <xdr:spPr>
              <a:xfrm>
                <a:off x="8443117" y="539720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58" name="Ellipse 657">
                <a:extLst>
                  <a:ext uri="{FF2B5EF4-FFF2-40B4-BE49-F238E27FC236}">
                    <a16:creationId xmlns:a16="http://schemas.microsoft.com/office/drawing/2014/main" id="{00000000-0008-0000-0900-000092020000}"/>
                  </a:ext>
                </a:extLst>
              </xdr:cNvPr>
              <xdr:cNvSpPr/>
            </xdr:nvSpPr>
            <xdr:spPr>
              <a:xfrm>
                <a:off x="8516460" y="539720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59" name="Ellipse 658">
                <a:extLst>
                  <a:ext uri="{FF2B5EF4-FFF2-40B4-BE49-F238E27FC236}">
                    <a16:creationId xmlns:a16="http://schemas.microsoft.com/office/drawing/2014/main" id="{00000000-0008-0000-0900-000093020000}"/>
                  </a:ext>
                </a:extLst>
              </xdr:cNvPr>
              <xdr:cNvSpPr/>
            </xdr:nvSpPr>
            <xdr:spPr>
              <a:xfrm>
                <a:off x="8479312" y="533433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60" name="Ellipse 659">
                <a:extLst>
                  <a:ext uri="{FF2B5EF4-FFF2-40B4-BE49-F238E27FC236}">
                    <a16:creationId xmlns:a16="http://schemas.microsoft.com/office/drawing/2014/main" id="{00000000-0008-0000-0900-000094020000}"/>
                  </a:ext>
                </a:extLst>
              </xdr:cNvPr>
              <xdr:cNvSpPr/>
            </xdr:nvSpPr>
            <xdr:spPr>
              <a:xfrm>
                <a:off x="8552222" y="533433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61" name="Ellipse 660">
                <a:extLst>
                  <a:ext uri="{FF2B5EF4-FFF2-40B4-BE49-F238E27FC236}">
                    <a16:creationId xmlns:a16="http://schemas.microsoft.com/office/drawing/2014/main" id="{00000000-0008-0000-0900-000095020000}"/>
                  </a:ext>
                </a:extLst>
              </xdr:cNvPr>
              <xdr:cNvSpPr/>
            </xdr:nvSpPr>
            <xdr:spPr>
              <a:xfrm>
                <a:off x="8405970" y="533433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62" name="Ellipse 661">
                <a:extLst>
                  <a:ext uri="{FF2B5EF4-FFF2-40B4-BE49-F238E27FC236}">
                    <a16:creationId xmlns:a16="http://schemas.microsoft.com/office/drawing/2014/main" id="{00000000-0008-0000-0900-000096020000}"/>
                  </a:ext>
                </a:extLst>
              </xdr:cNvPr>
              <xdr:cNvSpPr/>
            </xdr:nvSpPr>
            <xdr:spPr>
              <a:xfrm>
                <a:off x="8661759"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63" name="Ellipse 662">
                <a:extLst>
                  <a:ext uri="{FF2B5EF4-FFF2-40B4-BE49-F238E27FC236}">
                    <a16:creationId xmlns:a16="http://schemas.microsoft.com/office/drawing/2014/main" id="{00000000-0008-0000-0900-000097020000}"/>
                  </a:ext>
                </a:extLst>
              </xdr:cNvPr>
              <xdr:cNvSpPr/>
            </xdr:nvSpPr>
            <xdr:spPr>
              <a:xfrm>
                <a:off x="8735102"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64" name="Ellipse 663">
                <a:extLst>
                  <a:ext uri="{FF2B5EF4-FFF2-40B4-BE49-F238E27FC236}">
                    <a16:creationId xmlns:a16="http://schemas.microsoft.com/office/drawing/2014/main" id="{00000000-0008-0000-0900-000098020000}"/>
                  </a:ext>
                </a:extLst>
              </xdr:cNvPr>
              <xdr:cNvSpPr/>
            </xdr:nvSpPr>
            <xdr:spPr>
              <a:xfrm>
                <a:off x="8588850" y="527147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65" name="Ellipse 664">
                <a:extLst>
                  <a:ext uri="{FF2B5EF4-FFF2-40B4-BE49-F238E27FC236}">
                    <a16:creationId xmlns:a16="http://schemas.microsoft.com/office/drawing/2014/main" id="{00000000-0008-0000-0900-000099020000}"/>
                  </a:ext>
                </a:extLst>
              </xdr:cNvPr>
              <xdr:cNvSpPr/>
            </xdr:nvSpPr>
            <xdr:spPr>
              <a:xfrm>
                <a:off x="8698387" y="520860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66" name="Ellipse 665">
                <a:extLst>
                  <a:ext uri="{FF2B5EF4-FFF2-40B4-BE49-F238E27FC236}">
                    <a16:creationId xmlns:a16="http://schemas.microsoft.com/office/drawing/2014/main" id="{00000000-0008-0000-0900-00009A020000}"/>
                  </a:ext>
                </a:extLst>
              </xdr:cNvPr>
              <xdr:cNvSpPr/>
            </xdr:nvSpPr>
            <xdr:spPr>
              <a:xfrm>
                <a:off x="8625045" y="520860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67" name="Ellipse 666">
                <a:extLst>
                  <a:ext uri="{FF2B5EF4-FFF2-40B4-BE49-F238E27FC236}">
                    <a16:creationId xmlns:a16="http://schemas.microsoft.com/office/drawing/2014/main" id="{00000000-0008-0000-0900-00009B020000}"/>
                  </a:ext>
                </a:extLst>
              </xdr:cNvPr>
              <xdr:cNvSpPr/>
            </xdr:nvSpPr>
            <xdr:spPr>
              <a:xfrm>
                <a:off x="8663145" y="539720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68" name="Ellipse 667">
                <a:extLst>
                  <a:ext uri="{FF2B5EF4-FFF2-40B4-BE49-F238E27FC236}">
                    <a16:creationId xmlns:a16="http://schemas.microsoft.com/office/drawing/2014/main" id="{00000000-0008-0000-0900-00009C020000}"/>
                  </a:ext>
                </a:extLst>
              </xdr:cNvPr>
              <xdr:cNvSpPr/>
            </xdr:nvSpPr>
            <xdr:spPr>
              <a:xfrm>
                <a:off x="8589802" y="5397201"/>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69" name="Ellipse 668">
                <a:extLst>
                  <a:ext uri="{FF2B5EF4-FFF2-40B4-BE49-F238E27FC236}">
                    <a16:creationId xmlns:a16="http://schemas.microsoft.com/office/drawing/2014/main" id="{00000000-0008-0000-0900-00009D020000}"/>
                  </a:ext>
                </a:extLst>
              </xdr:cNvPr>
              <xdr:cNvSpPr/>
            </xdr:nvSpPr>
            <xdr:spPr>
              <a:xfrm>
                <a:off x="8698907" y="533433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70" name="Ellipse 669">
                <a:extLst>
                  <a:ext uri="{FF2B5EF4-FFF2-40B4-BE49-F238E27FC236}">
                    <a16:creationId xmlns:a16="http://schemas.microsoft.com/office/drawing/2014/main" id="{00000000-0008-0000-0900-00009E020000}"/>
                  </a:ext>
                </a:extLst>
              </xdr:cNvPr>
              <xdr:cNvSpPr/>
            </xdr:nvSpPr>
            <xdr:spPr>
              <a:xfrm>
                <a:off x="8625564" y="533433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71" name="Ellipse 670">
                <a:extLst>
                  <a:ext uri="{FF2B5EF4-FFF2-40B4-BE49-F238E27FC236}">
                    <a16:creationId xmlns:a16="http://schemas.microsoft.com/office/drawing/2014/main" id="{00000000-0008-0000-0900-00009F020000}"/>
                  </a:ext>
                </a:extLst>
              </xdr:cNvPr>
              <xdr:cNvSpPr/>
            </xdr:nvSpPr>
            <xdr:spPr>
              <a:xfrm>
                <a:off x="8442403" y="514645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72" name="Ellipse 671">
                <a:extLst>
                  <a:ext uri="{FF2B5EF4-FFF2-40B4-BE49-F238E27FC236}">
                    <a16:creationId xmlns:a16="http://schemas.microsoft.com/office/drawing/2014/main" id="{00000000-0008-0000-0900-0000A0020000}"/>
                  </a:ext>
                </a:extLst>
              </xdr:cNvPr>
              <xdr:cNvSpPr/>
            </xdr:nvSpPr>
            <xdr:spPr>
              <a:xfrm>
                <a:off x="8515746" y="514645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73" name="Ellipse 672">
                <a:extLst>
                  <a:ext uri="{FF2B5EF4-FFF2-40B4-BE49-F238E27FC236}">
                    <a16:creationId xmlns:a16="http://schemas.microsoft.com/office/drawing/2014/main" id="{00000000-0008-0000-0900-0000A1020000}"/>
                  </a:ext>
                </a:extLst>
              </xdr:cNvPr>
              <xdr:cNvSpPr/>
            </xdr:nvSpPr>
            <xdr:spPr>
              <a:xfrm>
                <a:off x="8662431" y="514645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74" name="Ellipse 673">
                <a:extLst>
                  <a:ext uri="{FF2B5EF4-FFF2-40B4-BE49-F238E27FC236}">
                    <a16:creationId xmlns:a16="http://schemas.microsoft.com/office/drawing/2014/main" id="{00000000-0008-0000-0900-0000A2020000}"/>
                  </a:ext>
                </a:extLst>
              </xdr:cNvPr>
              <xdr:cNvSpPr/>
            </xdr:nvSpPr>
            <xdr:spPr>
              <a:xfrm>
                <a:off x="8589088" y="5146456"/>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75" name="Ellipse 674">
                <a:extLst>
                  <a:ext uri="{FF2B5EF4-FFF2-40B4-BE49-F238E27FC236}">
                    <a16:creationId xmlns:a16="http://schemas.microsoft.com/office/drawing/2014/main" id="{00000000-0008-0000-0900-0000A3020000}"/>
                  </a:ext>
                </a:extLst>
              </xdr:cNvPr>
              <xdr:cNvSpPr/>
            </xdr:nvSpPr>
            <xdr:spPr>
              <a:xfrm>
                <a:off x="8368814" y="5395299"/>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76" name="Ellipse 675">
                <a:extLst>
                  <a:ext uri="{FF2B5EF4-FFF2-40B4-BE49-F238E27FC236}">
                    <a16:creationId xmlns:a16="http://schemas.microsoft.com/office/drawing/2014/main" id="{00000000-0008-0000-0900-0000A4020000}"/>
                  </a:ext>
                </a:extLst>
              </xdr:cNvPr>
              <xdr:cNvSpPr/>
            </xdr:nvSpPr>
            <xdr:spPr>
              <a:xfrm>
                <a:off x="8367712" y="5145880"/>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77" name="Ellipse 676">
                <a:extLst>
                  <a:ext uri="{FF2B5EF4-FFF2-40B4-BE49-F238E27FC236}">
                    <a16:creationId xmlns:a16="http://schemas.microsoft.com/office/drawing/2014/main" id="{00000000-0008-0000-0900-0000A5020000}"/>
                  </a:ext>
                </a:extLst>
              </xdr:cNvPr>
              <xdr:cNvSpPr/>
            </xdr:nvSpPr>
            <xdr:spPr>
              <a:xfrm>
                <a:off x="8734429" y="540067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78" name="Ellipse 677">
                <a:extLst>
                  <a:ext uri="{FF2B5EF4-FFF2-40B4-BE49-F238E27FC236}">
                    <a16:creationId xmlns:a16="http://schemas.microsoft.com/office/drawing/2014/main" id="{00000000-0008-0000-0900-0000A6020000}"/>
                  </a:ext>
                </a:extLst>
              </xdr:cNvPr>
              <xdr:cNvSpPr/>
            </xdr:nvSpPr>
            <xdr:spPr>
              <a:xfrm>
                <a:off x="8734425" y="5143500"/>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79" name="Ellipse 678">
                <a:extLst>
                  <a:ext uri="{FF2B5EF4-FFF2-40B4-BE49-F238E27FC236}">
                    <a16:creationId xmlns:a16="http://schemas.microsoft.com/office/drawing/2014/main" id="{00000000-0008-0000-0900-0000A7020000}"/>
                  </a:ext>
                </a:extLst>
              </xdr:cNvPr>
              <xdr:cNvSpPr/>
            </xdr:nvSpPr>
            <xdr:spPr>
              <a:xfrm>
                <a:off x="8770146" y="520779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80" name="Ellipse 679">
                <a:extLst>
                  <a:ext uri="{FF2B5EF4-FFF2-40B4-BE49-F238E27FC236}">
                    <a16:creationId xmlns:a16="http://schemas.microsoft.com/office/drawing/2014/main" id="{00000000-0008-0000-0900-0000A8020000}"/>
                  </a:ext>
                </a:extLst>
              </xdr:cNvPr>
              <xdr:cNvSpPr/>
            </xdr:nvSpPr>
            <xdr:spPr>
              <a:xfrm>
                <a:off x="8770145" y="5338762"/>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sp macro="" textlink="">
          <xdr:nvSpPr>
            <xdr:cNvPr id="682" name="Ellipse 681">
              <a:extLst>
                <a:ext uri="{FF2B5EF4-FFF2-40B4-BE49-F238E27FC236}">
                  <a16:creationId xmlns:a16="http://schemas.microsoft.com/office/drawing/2014/main" id="{00000000-0008-0000-0900-0000AA020000}"/>
                </a:ext>
              </a:extLst>
            </xdr:cNvPr>
            <xdr:cNvSpPr/>
          </xdr:nvSpPr>
          <xdr:spPr>
            <a:xfrm>
              <a:off x="9756619" y="5266709"/>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83" name="Ellipse 682">
              <a:extLst>
                <a:ext uri="{FF2B5EF4-FFF2-40B4-BE49-F238E27FC236}">
                  <a16:creationId xmlns:a16="http://schemas.microsoft.com/office/drawing/2014/main" id="{00000000-0008-0000-0900-0000AB020000}"/>
                </a:ext>
              </a:extLst>
            </xdr:cNvPr>
            <xdr:cNvSpPr/>
          </xdr:nvSpPr>
          <xdr:spPr>
            <a:xfrm>
              <a:off x="9829961" y="5266709"/>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84" name="Ellipse 683">
              <a:extLst>
                <a:ext uri="{FF2B5EF4-FFF2-40B4-BE49-F238E27FC236}">
                  <a16:creationId xmlns:a16="http://schemas.microsoft.com/office/drawing/2014/main" id="{00000000-0008-0000-0900-0000AC020000}"/>
                </a:ext>
              </a:extLst>
            </xdr:cNvPr>
            <xdr:cNvSpPr/>
          </xdr:nvSpPr>
          <xdr:spPr>
            <a:xfrm>
              <a:off x="9683276" y="5266709"/>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85" name="Ellipse 684">
              <a:extLst>
                <a:ext uri="{FF2B5EF4-FFF2-40B4-BE49-F238E27FC236}">
                  <a16:creationId xmlns:a16="http://schemas.microsoft.com/office/drawing/2014/main" id="{00000000-0008-0000-0900-0000AD020000}"/>
                </a:ext>
              </a:extLst>
            </xdr:cNvPr>
            <xdr:cNvSpPr/>
          </xdr:nvSpPr>
          <xdr:spPr>
            <a:xfrm>
              <a:off x="9792814" y="520384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86" name="Ellipse 685">
              <a:extLst>
                <a:ext uri="{FF2B5EF4-FFF2-40B4-BE49-F238E27FC236}">
                  <a16:creationId xmlns:a16="http://schemas.microsoft.com/office/drawing/2014/main" id="{00000000-0008-0000-0900-0000AE020000}"/>
                </a:ext>
              </a:extLst>
            </xdr:cNvPr>
            <xdr:cNvSpPr/>
          </xdr:nvSpPr>
          <xdr:spPr>
            <a:xfrm>
              <a:off x="9866156" y="520384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87" name="Ellipse 686">
              <a:extLst>
                <a:ext uri="{FF2B5EF4-FFF2-40B4-BE49-F238E27FC236}">
                  <a16:creationId xmlns:a16="http://schemas.microsoft.com/office/drawing/2014/main" id="{00000000-0008-0000-0900-0000AF020000}"/>
                </a:ext>
              </a:extLst>
            </xdr:cNvPr>
            <xdr:cNvSpPr/>
          </xdr:nvSpPr>
          <xdr:spPr>
            <a:xfrm>
              <a:off x="9719471" y="520384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88" name="Ellipse 687">
              <a:extLst>
                <a:ext uri="{FF2B5EF4-FFF2-40B4-BE49-F238E27FC236}">
                  <a16:creationId xmlns:a16="http://schemas.microsoft.com/office/drawing/2014/main" id="{00000000-0008-0000-0900-0000B0020000}"/>
                </a:ext>
              </a:extLst>
            </xdr:cNvPr>
            <xdr:cNvSpPr/>
          </xdr:nvSpPr>
          <xdr:spPr>
            <a:xfrm>
              <a:off x="9757571" y="5392439"/>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89" name="Ellipse 688">
              <a:extLst>
                <a:ext uri="{FF2B5EF4-FFF2-40B4-BE49-F238E27FC236}">
                  <a16:creationId xmlns:a16="http://schemas.microsoft.com/office/drawing/2014/main" id="{00000000-0008-0000-0900-0000B1020000}"/>
                </a:ext>
              </a:extLst>
            </xdr:cNvPr>
            <xdr:cNvSpPr/>
          </xdr:nvSpPr>
          <xdr:spPr>
            <a:xfrm>
              <a:off x="9830914" y="5392439"/>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90" name="Ellipse 689">
              <a:extLst>
                <a:ext uri="{FF2B5EF4-FFF2-40B4-BE49-F238E27FC236}">
                  <a16:creationId xmlns:a16="http://schemas.microsoft.com/office/drawing/2014/main" id="{00000000-0008-0000-0900-0000B2020000}"/>
                </a:ext>
              </a:extLst>
            </xdr:cNvPr>
            <xdr:cNvSpPr/>
          </xdr:nvSpPr>
          <xdr:spPr>
            <a:xfrm>
              <a:off x="9793766" y="532957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91" name="Ellipse 690">
              <a:extLst>
                <a:ext uri="{FF2B5EF4-FFF2-40B4-BE49-F238E27FC236}">
                  <a16:creationId xmlns:a16="http://schemas.microsoft.com/office/drawing/2014/main" id="{00000000-0008-0000-0900-0000B3020000}"/>
                </a:ext>
              </a:extLst>
            </xdr:cNvPr>
            <xdr:cNvSpPr/>
          </xdr:nvSpPr>
          <xdr:spPr>
            <a:xfrm>
              <a:off x="9866676" y="532957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92" name="Ellipse 691">
              <a:extLst>
                <a:ext uri="{FF2B5EF4-FFF2-40B4-BE49-F238E27FC236}">
                  <a16:creationId xmlns:a16="http://schemas.microsoft.com/office/drawing/2014/main" id="{00000000-0008-0000-0900-0000B4020000}"/>
                </a:ext>
              </a:extLst>
            </xdr:cNvPr>
            <xdr:cNvSpPr/>
          </xdr:nvSpPr>
          <xdr:spPr>
            <a:xfrm>
              <a:off x="9720424" y="532957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93" name="Ellipse 692">
              <a:extLst>
                <a:ext uri="{FF2B5EF4-FFF2-40B4-BE49-F238E27FC236}">
                  <a16:creationId xmlns:a16="http://schemas.microsoft.com/office/drawing/2014/main" id="{00000000-0008-0000-0900-0000B5020000}"/>
                </a:ext>
              </a:extLst>
            </xdr:cNvPr>
            <xdr:cNvSpPr/>
          </xdr:nvSpPr>
          <xdr:spPr>
            <a:xfrm>
              <a:off x="9976213" y="5266709"/>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94" name="Ellipse 693">
              <a:extLst>
                <a:ext uri="{FF2B5EF4-FFF2-40B4-BE49-F238E27FC236}">
                  <a16:creationId xmlns:a16="http://schemas.microsoft.com/office/drawing/2014/main" id="{00000000-0008-0000-0900-0000B6020000}"/>
                </a:ext>
              </a:extLst>
            </xdr:cNvPr>
            <xdr:cNvSpPr/>
          </xdr:nvSpPr>
          <xdr:spPr>
            <a:xfrm>
              <a:off x="10049556" y="5266709"/>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95" name="Ellipse 694">
              <a:extLst>
                <a:ext uri="{FF2B5EF4-FFF2-40B4-BE49-F238E27FC236}">
                  <a16:creationId xmlns:a16="http://schemas.microsoft.com/office/drawing/2014/main" id="{00000000-0008-0000-0900-0000B7020000}"/>
                </a:ext>
              </a:extLst>
            </xdr:cNvPr>
            <xdr:cNvSpPr/>
          </xdr:nvSpPr>
          <xdr:spPr>
            <a:xfrm>
              <a:off x="9903304" y="5266709"/>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96" name="Ellipse 695">
              <a:extLst>
                <a:ext uri="{FF2B5EF4-FFF2-40B4-BE49-F238E27FC236}">
                  <a16:creationId xmlns:a16="http://schemas.microsoft.com/office/drawing/2014/main" id="{00000000-0008-0000-0900-0000B8020000}"/>
                </a:ext>
              </a:extLst>
            </xdr:cNvPr>
            <xdr:cNvSpPr/>
          </xdr:nvSpPr>
          <xdr:spPr>
            <a:xfrm>
              <a:off x="10012841" y="520384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97" name="Ellipse 696">
              <a:extLst>
                <a:ext uri="{FF2B5EF4-FFF2-40B4-BE49-F238E27FC236}">
                  <a16:creationId xmlns:a16="http://schemas.microsoft.com/office/drawing/2014/main" id="{00000000-0008-0000-0900-0000B9020000}"/>
                </a:ext>
              </a:extLst>
            </xdr:cNvPr>
            <xdr:cNvSpPr/>
          </xdr:nvSpPr>
          <xdr:spPr>
            <a:xfrm>
              <a:off x="9939499" y="520384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98" name="Ellipse 697">
              <a:extLst>
                <a:ext uri="{FF2B5EF4-FFF2-40B4-BE49-F238E27FC236}">
                  <a16:creationId xmlns:a16="http://schemas.microsoft.com/office/drawing/2014/main" id="{00000000-0008-0000-0900-0000BA020000}"/>
                </a:ext>
              </a:extLst>
            </xdr:cNvPr>
            <xdr:cNvSpPr/>
          </xdr:nvSpPr>
          <xdr:spPr>
            <a:xfrm>
              <a:off x="9977599" y="5392439"/>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99" name="Ellipse 698">
              <a:extLst>
                <a:ext uri="{FF2B5EF4-FFF2-40B4-BE49-F238E27FC236}">
                  <a16:creationId xmlns:a16="http://schemas.microsoft.com/office/drawing/2014/main" id="{00000000-0008-0000-0900-0000BB020000}"/>
                </a:ext>
              </a:extLst>
            </xdr:cNvPr>
            <xdr:cNvSpPr/>
          </xdr:nvSpPr>
          <xdr:spPr>
            <a:xfrm>
              <a:off x="9904256" y="5392439"/>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00" name="Ellipse 699">
              <a:extLst>
                <a:ext uri="{FF2B5EF4-FFF2-40B4-BE49-F238E27FC236}">
                  <a16:creationId xmlns:a16="http://schemas.microsoft.com/office/drawing/2014/main" id="{00000000-0008-0000-0900-0000BC020000}"/>
                </a:ext>
              </a:extLst>
            </xdr:cNvPr>
            <xdr:cNvSpPr/>
          </xdr:nvSpPr>
          <xdr:spPr>
            <a:xfrm>
              <a:off x="10013361" y="532957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01" name="Ellipse 700">
              <a:extLst>
                <a:ext uri="{FF2B5EF4-FFF2-40B4-BE49-F238E27FC236}">
                  <a16:creationId xmlns:a16="http://schemas.microsoft.com/office/drawing/2014/main" id="{00000000-0008-0000-0900-0000BD020000}"/>
                </a:ext>
              </a:extLst>
            </xdr:cNvPr>
            <xdr:cNvSpPr/>
          </xdr:nvSpPr>
          <xdr:spPr>
            <a:xfrm>
              <a:off x="9940018" y="532957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02" name="Ellipse 701">
              <a:extLst>
                <a:ext uri="{FF2B5EF4-FFF2-40B4-BE49-F238E27FC236}">
                  <a16:creationId xmlns:a16="http://schemas.microsoft.com/office/drawing/2014/main" id="{00000000-0008-0000-0900-0000BE020000}"/>
                </a:ext>
              </a:extLst>
            </xdr:cNvPr>
            <xdr:cNvSpPr/>
          </xdr:nvSpPr>
          <xdr:spPr>
            <a:xfrm>
              <a:off x="9756857" y="514169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03" name="Ellipse 702">
              <a:extLst>
                <a:ext uri="{FF2B5EF4-FFF2-40B4-BE49-F238E27FC236}">
                  <a16:creationId xmlns:a16="http://schemas.microsoft.com/office/drawing/2014/main" id="{00000000-0008-0000-0900-0000BF020000}"/>
                </a:ext>
              </a:extLst>
            </xdr:cNvPr>
            <xdr:cNvSpPr/>
          </xdr:nvSpPr>
          <xdr:spPr>
            <a:xfrm>
              <a:off x="9830200" y="514169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04" name="Ellipse 703">
              <a:extLst>
                <a:ext uri="{FF2B5EF4-FFF2-40B4-BE49-F238E27FC236}">
                  <a16:creationId xmlns:a16="http://schemas.microsoft.com/office/drawing/2014/main" id="{00000000-0008-0000-0900-0000C0020000}"/>
                </a:ext>
              </a:extLst>
            </xdr:cNvPr>
            <xdr:cNvSpPr/>
          </xdr:nvSpPr>
          <xdr:spPr>
            <a:xfrm>
              <a:off x="9976885" y="514169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05" name="Ellipse 704">
              <a:extLst>
                <a:ext uri="{FF2B5EF4-FFF2-40B4-BE49-F238E27FC236}">
                  <a16:creationId xmlns:a16="http://schemas.microsoft.com/office/drawing/2014/main" id="{00000000-0008-0000-0900-0000C1020000}"/>
                </a:ext>
              </a:extLst>
            </xdr:cNvPr>
            <xdr:cNvSpPr/>
          </xdr:nvSpPr>
          <xdr:spPr>
            <a:xfrm>
              <a:off x="9903542" y="514169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06" name="Ellipse 705">
              <a:extLst>
                <a:ext uri="{FF2B5EF4-FFF2-40B4-BE49-F238E27FC236}">
                  <a16:creationId xmlns:a16="http://schemas.microsoft.com/office/drawing/2014/main" id="{00000000-0008-0000-0900-0000C2020000}"/>
                </a:ext>
              </a:extLst>
            </xdr:cNvPr>
            <xdr:cNvSpPr/>
          </xdr:nvSpPr>
          <xdr:spPr>
            <a:xfrm>
              <a:off x="9683268" y="5390537"/>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07" name="Ellipse 706">
              <a:extLst>
                <a:ext uri="{FF2B5EF4-FFF2-40B4-BE49-F238E27FC236}">
                  <a16:creationId xmlns:a16="http://schemas.microsoft.com/office/drawing/2014/main" id="{00000000-0008-0000-0900-0000C3020000}"/>
                </a:ext>
              </a:extLst>
            </xdr:cNvPr>
            <xdr:cNvSpPr/>
          </xdr:nvSpPr>
          <xdr:spPr>
            <a:xfrm>
              <a:off x="9682166" y="5141118"/>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08" name="Ellipse 707">
              <a:extLst>
                <a:ext uri="{FF2B5EF4-FFF2-40B4-BE49-F238E27FC236}">
                  <a16:creationId xmlns:a16="http://schemas.microsoft.com/office/drawing/2014/main" id="{00000000-0008-0000-0900-0000C4020000}"/>
                </a:ext>
              </a:extLst>
            </xdr:cNvPr>
            <xdr:cNvSpPr/>
          </xdr:nvSpPr>
          <xdr:spPr>
            <a:xfrm>
              <a:off x="10048883" y="5395912"/>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09" name="Ellipse 708">
              <a:extLst>
                <a:ext uri="{FF2B5EF4-FFF2-40B4-BE49-F238E27FC236}">
                  <a16:creationId xmlns:a16="http://schemas.microsoft.com/office/drawing/2014/main" id="{00000000-0008-0000-0900-0000C5020000}"/>
                </a:ext>
              </a:extLst>
            </xdr:cNvPr>
            <xdr:cNvSpPr/>
          </xdr:nvSpPr>
          <xdr:spPr>
            <a:xfrm>
              <a:off x="10048879" y="5138738"/>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10" name="Ellipse 709">
              <a:extLst>
                <a:ext uri="{FF2B5EF4-FFF2-40B4-BE49-F238E27FC236}">
                  <a16:creationId xmlns:a16="http://schemas.microsoft.com/office/drawing/2014/main" id="{00000000-0008-0000-0900-0000C6020000}"/>
                </a:ext>
              </a:extLst>
            </xdr:cNvPr>
            <xdr:cNvSpPr/>
          </xdr:nvSpPr>
          <xdr:spPr>
            <a:xfrm>
              <a:off x="8482019" y="507444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11" name="Ellipse 710">
              <a:extLst>
                <a:ext uri="{FF2B5EF4-FFF2-40B4-BE49-F238E27FC236}">
                  <a16:creationId xmlns:a16="http://schemas.microsoft.com/office/drawing/2014/main" id="{00000000-0008-0000-0900-0000C7020000}"/>
                </a:ext>
              </a:extLst>
            </xdr:cNvPr>
            <xdr:cNvSpPr/>
          </xdr:nvSpPr>
          <xdr:spPr>
            <a:xfrm>
              <a:off x="8405818" y="5076824"/>
              <a:ext cx="72000" cy="72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xnSp macro="">
          <xdr:nvCxnSpPr>
            <xdr:cNvPr id="479" name="Connecteur droit 478">
              <a:extLst>
                <a:ext uri="{FF2B5EF4-FFF2-40B4-BE49-F238E27FC236}">
                  <a16:creationId xmlns:a16="http://schemas.microsoft.com/office/drawing/2014/main" id="{00000000-0008-0000-0900-0000DF010000}"/>
                </a:ext>
              </a:extLst>
            </xdr:cNvPr>
            <xdr:cNvCxnSpPr/>
          </xdr:nvCxnSpPr>
          <xdr:spPr>
            <a:xfrm flipV="1">
              <a:off x="8343900" y="5475118"/>
              <a:ext cx="1800000" cy="0"/>
            </a:xfrm>
            <a:prstGeom prst="lin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cxnSp>
      </xdr:grpSp>
    </xdr:grpSp>
    <xdr:clientData/>
  </xdr:twoCellAnchor>
  <xdr:twoCellAnchor editAs="oneCell">
    <xdr:from>
      <xdr:col>7</xdr:col>
      <xdr:colOff>587375</xdr:colOff>
      <xdr:row>18</xdr:row>
      <xdr:rowOff>187325</xdr:rowOff>
    </xdr:from>
    <xdr:to>
      <xdr:col>7</xdr:col>
      <xdr:colOff>1538850</xdr:colOff>
      <xdr:row>22</xdr:row>
      <xdr:rowOff>188840</xdr:rowOff>
    </xdr:to>
    <xdr:grpSp>
      <xdr:nvGrpSpPr>
        <xdr:cNvPr id="718" name="Groupe 717">
          <a:extLst>
            <a:ext uri="{FF2B5EF4-FFF2-40B4-BE49-F238E27FC236}">
              <a16:creationId xmlns:a16="http://schemas.microsoft.com/office/drawing/2014/main" id="{00000000-0008-0000-0900-0000CE020000}"/>
            </a:ext>
          </a:extLst>
        </xdr:cNvPr>
        <xdr:cNvGrpSpPr>
          <a:grpSpLocks noChangeAspect="1"/>
        </xdr:cNvGrpSpPr>
      </xdr:nvGrpSpPr>
      <xdr:grpSpPr>
        <a:xfrm>
          <a:off x="6577542" y="4378325"/>
          <a:ext cx="951475" cy="763515"/>
          <a:chOff x="3758045" y="4812500"/>
          <a:chExt cx="9514750" cy="7635150"/>
        </a:xfrm>
      </xdr:grpSpPr>
      <xdr:sp macro="" textlink="">
        <xdr:nvSpPr>
          <xdr:cNvPr id="719" name="Ellipse 718">
            <a:extLst>
              <a:ext uri="{FF2B5EF4-FFF2-40B4-BE49-F238E27FC236}">
                <a16:creationId xmlns:a16="http://schemas.microsoft.com/office/drawing/2014/main" id="{00000000-0008-0000-0900-0000CF020000}"/>
              </a:ext>
            </a:extLst>
          </xdr:cNvPr>
          <xdr:cNvSpPr/>
        </xdr:nvSpPr>
        <xdr:spPr>
          <a:xfrm>
            <a:off x="5570970" y="5441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20" name="Ellipse 719">
            <a:extLst>
              <a:ext uri="{FF2B5EF4-FFF2-40B4-BE49-F238E27FC236}">
                <a16:creationId xmlns:a16="http://schemas.microsoft.com/office/drawing/2014/main" id="{00000000-0008-0000-0900-0000D0020000}"/>
              </a:ext>
            </a:extLst>
          </xdr:cNvPr>
          <xdr:cNvSpPr/>
        </xdr:nvSpPr>
        <xdr:spPr>
          <a:xfrm>
            <a:off x="5932920" y="4812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21" name="Ellipse 720">
            <a:extLst>
              <a:ext uri="{FF2B5EF4-FFF2-40B4-BE49-F238E27FC236}">
                <a16:creationId xmlns:a16="http://schemas.microsoft.com/office/drawing/2014/main" id="{00000000-0008-0000-0900-0000D1020000}"/>
              </a:ext>
            </a:extLst>
          </xdr:cNvPr>
          <xdr:cNvSpPr/>
        </xdr:nvSpPr>
        <xdr:spPr>
          <a:xfrm>
            <a:off x="4847070" y="6698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22" name="Ellipse 721">
            <a:extLst>
              <a:ext uri="{FF2B5EF4-FFF2-40B4-BE49-F238E27FC236}">
                <a16:creationId xmlns:a16="http://schemas.microsoft.com/office/drawing/2014/main" id="{00000000-0008-0000-0900-0000D2020000}"/>
              </a:ext>
            </a:extLst>
          </xdr:cNvPr>
          <xdr:cNvSpPr/>
        </xdr:nvSpPr>
        <xdr:spPr>
          <a:xfrm>
            <a:off x="5580495" y="6698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23" name="Ellipse 722">
            <a:extLst>
              <a:ext uri="{FF2B5EF4-FFF2-40B4-BE49-F238E27FC236}">
                <a16:creationId xmlns:a16="http://schemas.microsoft.com/office/drawing/2014/main" id="{00000000-0008-0000-0900-0000D3020000}"/>
              </a:ext>
            </a:extLst>
          </xdr:cNvPr>
          <xdr:cNvSpPr/>
        </xdr:nvSpPr>
        <xdr:spPr>
          <a:xfrm>
            <a:off x="5209020" y="6069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24" name="Ellipse 723">
            <a:extLst>
              <a:ext uri="{FF2B5EF4-FFF2-40B4-BE49-F238E27FC236}">
                <a16:creationId xmlns:a16="http://schemas.microsoft.com/office/drawing/2014/main" id="{00000000-0008-0000-0900-0000D4020000}"/>
              </a:ext>
            </a:extLst>
          </xdr:cNvPr>
          <xdr:cNvSpPr/>
        </xdr:nvSpPr>
        <xdr:spPr>
          <a:xfrm>
            <a:off x="5942445" y="6069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25" name="Ellipse 724">
            <a:extLst>
              <a:ext uri="{FF2B5EF4-FFF2-40B4-BE49-F238E27FC236}">
                <a16:creationId xmlns:a16="http://schemas.microsoft.com/office/drawing/2014/main" id="{00000000-0008-0000-0900-0000D5020000}"/>
              </a:ext>
            </a:extLst>
          </xdr:cNvPr>
          <xdr:cNvSpPr/>
        </xdr:nvSpPr>
        <xdr:spPr>
          <a:xfrm>
            <a:off x="7037820" y="5441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26" name="Ellipse 725">
            <a:extLst>
              <a:ext uri="{FF2B5EF4-FFF2-40B4-BE49-F238E27FC236}">
                <a16:creationId xmlns:a16="http://schemas.microsoft.com/office/drawing/2014/main" id="{00000000-0008-0000-0900-0000D6020000}"/>
              </a:ext>
            </a:extLst>
          </xdr:cNvPr>
          <xdr:cNvSpPr/>
        </xdr:nvSpPr>
        <xdr:spPr>
          <a:xfrm>
            <a:off x="7771245" y="5441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27" name="Ellipse 726">
            <a:extLst>
              <a:ext uri="{FF2B5EF4-FFF2-40B4-BE49-F238E27FC236}">
                <a16:creationId xmlns:a16="http://schemas.microsoft.com/office/drawing/2014/main" id="{00000000-0008-0000-0900-0000D7020000}"/>
              </a:ext>
            </a:extLst>
          </xdr:cNvPr>
          <xdr:cNvSpPr/>
        </xdr:nvSpPr>
        <xdr:spPr>
          <a:xfrm>
            <a:off x="6304395" y="5441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28" name="Ellipse 727">
            <a:extLst>
              <a:ext uri="{FF2B5EF4-FFF2-40B4-BE49-F238E27FC236}">
                <a16:creationId xmlns:a16="http://schemas.microsoft.com/office/drawing/2014/main" id="{00000000-0008-0000-0900-0000D8020000}"/>
              </a:ext>
            </a:extLst>
          </xdr:cNvPr>
          <xdr:cNvSpPr/>
        </xdr:nvSpPr>
        <xdr:spPr>
          <a:xfrm>
            <a:off x="7399770" y="4812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29" name="Ellipse 728">
            <a:extLst>
              <a:ext uri="{FF2B5EF4-FFF2-40B4-BE49-F238E27FC236}">
                <a16:creationId xmlns:a16="http://schemas.microsoft.com/office/drawing/2014/main" id="{00000000-0008-0000-0900-0000D9020000}"/>
              </a:ext>
            </a:extLst>
          </xdr:cNvPr>
          <xdr:cNvSpPr/>
        </xdr:nvSpPr>
        <xdr:spPr>
          <a:xfrm>
            <a:off x="8133195" y="4812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30" name="Ellipse 729">
            <a:extLst>
              <a:ext uri="{FF2B5EF4-FFF2-40B4-BE49-F238E27FC236}">
                <a16:creationId xmlns:a16="http://schemas.microsoft.com/office/drawing/2014/main" id="{00000000-0008-0000-0900-0000DA020000}"/>
              </a:ext>
            </a:extLst>
          </xdr:cNvPr>
          <xdr:cNvSpPr/>
        </xdr:nvSpPr>
        <xdr:spPr>
          <a:xfrm>
            <a:off x="6666345" y="4812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31" name="Ellipse 730">
            <a:extLst>
              <a:ext uri="{FF2B5EF4-FFF2-40B4-BE49-F238E27FC236}">
                <a16:creationId xmlns:a16="http://schemas.microsoft.com/office/drawing/2014/main" id="{00000000-0008-0000-0900-0000DB020000}"/>
              </a:ext>
            </a:extLst>
          </xdr:cNvPr>
          <xdr:cNvSpPr/>
        </xdr:nvSpPr>
        <xdr:spPr>
          <a:xfrm>
            <a:off x="7047345" y="6698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32" name="Ellipse 731">
            <a:extLst>
              <a:ext uri="{FF2B5EF4-FFF2-40B4-BE49-F238E27FC236}">
                <a16:creationId xmlns:a16="http://schemas.microsoft.com/office/drawing/2014/main" id="{00000000-0008-0000-0900-0000DC020000}"/>
              </a:ext>
            </a:extLst>
          </xdr:cNvPr>
          <xdr:cNvSpPr/>
        </xdr:nvSpPr>
        <xdr:spPr>
          <a:xfrm>
            <a:off x="7780770" y="6698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33" name="Ellipse 732">
            <a:extLst>
              <a:ext uri="{FF2B5EF4-FFF2-40B4-BE49-F238E27FC236}">
                <a16:creationId xmlns:a16="http://schemas.microsoft.com/office/drawing/2014/main" id="{00000000-0008-0000-0900-0000DD020000}"/>
              </a:ext>
            </a:extLst>
          </xdr:cNvPr>
          <xdr:cNvSpPr/>
        </xdr:nvSpPr>
        <xdr:spPr>
          <a:xfrm>
            <a:off x="6313920" y="6698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34" name="Ellipse 733">
            <a:extLst>
              <a:ext uri="{FF2B5EF4-FFF2-40B4-BE49-F238E27FC236}">
                <a16:creationId xmlns:a16="http://schemas.microsoft.com/office/drawing/2014/main" id="{00000000-0008-0000-0900-0000DE020000}"/>
              </a:ext>
            </a:extLst>
          </xdr:cNvPr>
          <xdr:cNvSpPr/>
        </xdr:nvSpPr>
        <xdr:spPr>
          <a:xfrm>
            <a:off x="7409295" y="6069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35" name="Ellipse 734">
            <a:extLst>
              <a:ext uri="{FF2B5EF4-FFF2-40B4-BE49-F238E27FC236}">
                <a16:creationId xmlns:a16="http://schemas.microsoft.com/office/drawing/2014/main" id="{00000000-0008-0000-0900-0000DF020000}"/>
              </a:ext>
            </a:extLst>
          </xdr:cNvPr>
          <xdr:cNvSpPr/>
        </xdr:nvSpPr>
        <xdr:spPr>
          <a:xfrm>
            <a:off x="8142720" y="6069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36" name="Ellipse 735">
            <a:extLst>
              <a:ext uri="{FF2B5EF4-FFF2-40B4-BE49-F238E27FC236}">
                <a16:creationId xmlns:a16="http://schemas.microsoft.com/office/drawing/2014/main" id="{00000000-0008-0000-0900-0000E0020000}"/>
              </a:ext>
            </a:extLst>
          </xdr:cNvPr>
          <xdr:cNvSpPr/>
        </xdr:nvSpPr>
        <xdr:spPr>
          <a:xfrm>
            <a:off x="6675870" y="6069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37" name="Ellipse 736">
            <a:extLst>
              <a:ext uri="{FF2B5EF4-FFF2-40B4-BE49-F238E27FC236}">
                <a16:creationId xmlns:a16="http://schemas.microsoft.com/office/drawing/2014/main" id="{00000000-0008-0000-0900-0000E1020000}"/>
              </a:ext>
            </a:extLst>
          </xdr:cNvPr>
          <xdr:cNvSpPr/>
        </xdr:nvSpPr>
        <xdr:spPr>
          <a:xfrm>
            <a:off x="4847070" y="79557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38" name="Ellipse 737">
            <a:extLst>
              <a:ext uri="{FF2B5EF4-FFF2-40B4-BE49-F238E27FC236}">
                <a16:creationId xmlns:a16="http://schemas.microsoft.com/office/drawing/2014/main" id="{00000000-0008-0000-0900-0000E2020000}"/>
              </a:ext>
            </a:extLst>
          </xdr:cNvPr>
          <xdr:cNvSpPr/>
        </xdr:nvSpPr>
        <xdr:spPr>
          <a:xfrm>
            <a:off x="5580495" y="79557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39" name="Ellipse 738">
            <a:extLst>
              <a:ext uri="{FF2B5EF4-FFF2-40B4-BE49-F238E27FC236}">
                <a16:creationId xmlns:a16="http://schemas.microsoft.com/office/drawing/2014/main" id="{00000000-0008-0000-0900-0000E3020000}"/>
              </a:ext>
            </a:extLst>
          </xdr:cNvPr>
          <xdr:cNvSpPr/>
        </xdr:nvSpPr>
        <xdr:spPr>
          <a:xfrm>
            <a:off x="4113645" y="79557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40" name="Ellipse 739">
            <a:extLst>
              <a:ext uri="{FF2B5EF4-FFF2-40B4-BE49-F238E27FC236}">
                <a16:creationId xmlns:a16="http://schemas.microsoft.com/office/drawing/2014/main" id="{00000000-0008-0000-0900-0000E4020000}"/>
              </a:ext>
            </a:extLst>
          </xdr:cNvPr>
          <xdr:cNvSpPr/>
        </xdr:nvSpPr>
        <xdr:spPr>
          <a:xfrm>
            <a:off x="5209020" y="73271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41" name="Ellipse 740">
            <a:extLst>
              <a:ext uri="{FF2B5EF4-FFF2-40B4-BE49-F238E27FC236}">
                <a16:creationId xmlns:a16="http://schemas.microsoft.com/office/drawing/2014/main" id="{00000000-0008-0000-0900-0000E5020000}"/>
              </a:ext>
            </a:extLst>
          </xdr:cNvPr>
          <xdr:cNvSpPr/>
        </xdr:nvSpPr>
        <xdr:spPr>
          <a:xfrm>
            <a:off x="5942445" y="73271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42" name="Ellipse 741">
            <a:extLst>
              <a:ext uri="{FF2B5EF4-FFF2-40B4-BE49-F238E27FC236}">
                <a16:creationId xmlns:a16="http://schemas.microsoft.com/office/drawing/2014/main" id="{00000000-0008-0000-0900-0000E6020000}"/>
              </a:ext>
            </a:extLst>
          </xdr:cNvPr>
          <xdr:cNvSpPr/>
        </xdr:nvSpPr>
        <xdr:spPr>
          <a:xfrm>
            <a:off x="4475595" y="73271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43" name="Ellipse 742">
            <a:extLst>
              <a:ext uri="{FF2B5EF4-FFF2-40B4-BE49-F238E27FC236}">
                <a16:creationId xmlns:a16="http://schemas.microsoft.com/office/drawing/2014/main" id="{00000000-0008-0000-0900-0000E7020000}"/>
              </a:ext>
            </a:extLst>
          </xdr:cNvPr>
          <xdr:cNvSpPr/>
        </xdr:nvSpPr>
        <xdr:spPr>
          <a:xfrm>
            <a:off x="4856595" y="92130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44" name="Ellipse 743">
            <a:extLst>
              <a:ext uri="{FF2B5EF4-FFF2-40B4-BE49-F238E27FC236}">
                <a16:creationId xmlns:a16="http://schemas.microsoft.com/office/drawing/2014/main" id="{00000000-0008-0000-0900-0000E8020000}"/>
              </a:ext>
            </a:extLst>
          </xdr:cNvPr>
          <xdr:cNvSpPr/>
        </xdr:nvSpPr>
        <xdr:spPr>
          <a:xfrm>
            <a:off x="5590020" y="92130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45" name="Ellipse 744">
            <a:extLst>
              <a:ext uri="{FF2B5EF4-FFF2-40B4-BE49-F238E27FC236}">
                <a16:creationId xmlns:a16="http://schemas.microsoft.com/office/drawing/2014/main" id="{00000000-0008-0000-0900-0000E9020000}"/>
              </a:ext>
            </a:extLst>
          </xdr:cNvPr>
          <xdr:cNvSpPr/>
        </xdr:nvSpPr>
        <xdr:spPr>
          <a:xfrm>
            <a:off x="4123170" y="92130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46" name="Ellipse 745">
            <a:extLst>
              <a:ext uri="{FF2B5EF4-FFF2-40B4-BE49-F238E27FC236}">
                <a16:creationId xmlns:a16="http://schemas.microsoft.com/office/drawing/2014/main" id="{00000000-0008-0000-0900-0000EA020000}"/>
              </a:ext>
            </a:extLst>
          </xdr:cNvPr>
          <xdr:cNvSpPr/>
        </xdr:nvSpPr>
        <xdr:spPr>
          <a:xfrm>
            <a:off x="5218545" y="85844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47" name="Ellipse 746">
            <a:extLst>
              <a:ext uri="{FF2B5EF4-FFF2-40B4-BE49-F238E27FC236}">
                <a16:creationId xmlns:a16="http://schemas.microsoft.com/office/drawing/2014/main" id="{00000000-0008-0000-0900-0000EB020000}"/>
              </a:ext>
            </a:extLst>
          </xdr:cNvPr>
          <xdr:cNvSpPr/>
        </xdr:nvSpPr>
        <xdr:spPr>
          <a:xfrm>
            <a:off x="5951970" y="85844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48" name="Ellipse 747">
            <a:extLst>
              <a:ext uri="{FF2B5EF4-FFF2-40B4-BE49-F238E27FC236}">
                <a16:creationId xmlns:a16="http://schemas.microsoft.com/office/drawing/2014/main" id="{00000000-0008-0000-0900-0000EC020000}"/>
              </a:ext>
            </a:extLst>
          </xdr:cNvPr>
          <xdr:cNvSpPr/>
        </xdr:nvSpPr>
        <xdr:spPr>
          <a:xfrm>
            <a:off x="4485120" y="85844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49" name="Ellipse 748">
            <a:extLst>
              <a:ext uri="{FF2B5EF4-FFF2-40B4-BE49-F238E27FC236}">
                <a16:creationId xmlns:a16="http://schemas.microsoft.com/office/drawing/2014/main" id="{00000000-0008-0000-0900-0000ED020000}"/>
              </a:ext>
            </a:extLst>
          </xdr:cNvPr>
          <xdr:cNvSpPr/>
        </xdr:nvSpPr>
        <xdr:spPr>
          <a:xfrm>
            <a:off x="7047345" y="79557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50" name="Ellipse 749">
            <a:extLst>
              <a:ext uri="{FF2B5EF4-FFF2-40B4-BE49-F238E27FC236}">
                <a16:creationId xmlns:a16="http://schemas.microsoft.com/office/drawing/2014/main" id="{00000000-0008-0000-0900-0000EE020000}"/>
              </a:ext>
            </a:extLst>
          </xdr:cNvPr>
          <xdr:cNvSpPr/>
        </xdr:nvSpPr>
        <xdr:spPr>
          <a:xfrm>
            <a:off x="7780770" y="79557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51" name="Ellipse 750">
            <a:extLst>
              <a:ext uri="{FF2B5EF4-FFF2-40B4-BE49-F238E27FC236}">
                <a16:creationId xmlns:a16="http://schemas.microsoft.com/office/drawing/2014/main" id="{00000000-0008-0000-0900-0000EF020000}"/>
              </a:ext>
            </a:extLst>
          </xdr:cNvPr>
          <xdr:cNvSpPr/>
        </xdr:nvSpPr>
        <xdr:spPr>
          <a:xfrm>
            <a:off x="6313920" y="79557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52" name="Ellipse 751">
            <a:extLst>
              <a:ext uri="{FF2B5EF4-FFF2-40B4-BE49-F238E27FC236}">
                <a16:creationId xmlns:a16="http://schemas.microsoft.com/office/drawing/2014/main" id="{00000000-0008-0000-0900-0000F0020000}"/>
              </a:ext>
            </a:extLst>
          </xdr:cNvPr>
          <xdr:cNvSpPr/>
        </xdr:nvSpPr>
        <xdr:spPr>
          <a:xfrm>
            <a:off x="7409295" y="73271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53" name="Ellipse 752">
            <a:extLst>
              <a:ext uri="{FF2B5EF4-FFF2-40B4-BE49-F238E27FC236}">
                <a16:creationId xmlns:a16="http://schemas.microsoft.com/office/drawing/2014/main" id="{00000000-0008-0000-0900-0000F1020000}"/>
              </a:ext>
            </a:extLst>
          </xdr:cNvPr>
          <xdr:cNvSpPr/>
        </xdr:nvSpPr>
        <xdr:spPr>
          <a:xfrm>
            <a:off x="8142720" y="73271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54" name="Ellipse 753">
            <a:extLst>
              <a:ext uri="{FF2B5EF4-FFF2-40B4-BE49-F238E27FC236}">
                <a16:creationId xmlns:a16="http://schemas.microsoft.com/office/drawing/2014/main" id="{00000000-0008-0000-0900-0000F2020000}"/>
              </a:ext>
            </a:extLst>
          </xdr:cNvPr>
          <xdr:cNvSpPr/>
        </xdr:nvSpPr>
        <xdr:spPr>
          <a:xfrm>
            <a:off x="6675870" y="73271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55" name="Ellipse 754">
            <a:extLst>
              <a:ext uri="{FF2B5EF4-FFF2-40B4-BE49-F238E27FC236}">
                <a16:creationId xmlns:a16="http://schemas.microsoft.com/office/drawing/2014/main" id="{00000000-0008-0000-0900-0000F3020000}"/>
              </a:ext>
            </a:extLst>
          </xdr:cNvPr>
          <xdr:cNvSpPr/>
        </xdr:nvSpPr>
        <xdr:spPr>
          <a:xfrm>
            <a:off x="7056870" y="92130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56" name="Ellipse 755">
            <a:extLst>
              <a:ext uri="{FF2B5EF4-FFF2-40B4-BE49-F238E27FC236}">
                <a16:creationId xmlns:a16="http://schemas.microsoft.com/office/drawing/2014/main" id="{00000000-0008-0000-0900-0000F4020000}"/>
              </a:ext>
            </a:extLst>
          </xdr:cNvPr>
          <xdr:cNvSpPr/>
        </xdr:nvSpPr>
        <xdr:spPr>
          <a:xfrm>
            <a:off x="7790295" y="92130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57" name="Ellipse 756">
            <a:extLst>
              <a:ext uri="{FF2B5EF4-FFF2-40B4-BE49-F238E27FC236}">
                <a16:creationId xmlns:a16="http://schemas.microsoft.com/office/drawing/2014/main" id="{00000000-0008-0000-0900-0000F5020000}"/>
              </a:ext>
            </a:extLst>
          </xdr:cNvPr>
          <xdr:cNvSpPr/>
        </xdr:nvSpPr>
        <xdr:spPr>
          <a:xfrm>
            <a:off x="6323445" y="92130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58" name="Ellipse 757">
            <a:extLst>
              <a:ext uri="{FF2B5EF4-FFF2-40B4-BE49-F238E27FC236}">
                <a16:creationId xmlns:a16="http://schemas.microsoft.com/office/drawing/2014/main" id="{00000000-0008-0000-0900-0000F6020000}"/>
              </a:ext>
            </a:extLst>
          </xdr:cNvPr>
          <xdr:cNvSpPr/>
        </xdr:nvSpPr>
        <xdr:spPr>
          <a:xfrm>
            <a:off x="7418820" y="85844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59" name="Ellipse 758">
            <a:extLst>
              <a:ext uri="{FF2B5EF4-FFF2-40B4-BE49-F238E27FC236}">
                <a16:creationId xmlns:a16="http://schemas.microsoft.com/office/drawing/2014/main" id="{00000000-0008-0000-0900-0000F7020000}"/>
              </a:ext>
            </a:extLst>
          </xdr:cNvPr>
          <xdr:cNvSpPr/>
        </xdr:nvSpPr>
        <xdr:spPr>
          <a:xfrm>
            <a:off x="8152245" y="85844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60" name="Ellipse 759">
            <a:extLst>
              <a:ext uri="{FF2B5EF4-FFF2-40B4-BE49-F238E27FC236}">
                <a16:creationId xmlns:a16="http://schemas.microsoft.com/office/drawing/2014/main" id="{00000000-0008-0000-0900-0000F8020000}"/>
              </a:ext>
            </a:extLst>
          </xdr:cNvPr>
          <xdr:cNvSpPr/>
        </xdr:nvSpPr>
        <xdr:spPr>
          <a:xfrm>
            <a:off x="6685395" y="85844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61" name="Ellipse 760">
            <a:extLst>
              <a:ext uri="{FF2B5EF4-FFF2-40B4-BE49-F238E27FC236}">
                <a16:creationId xmlns:a16="http://schemas.microsoft.com/office/drawing/2014/main" id="{00000000-0008-0000-0900-0000F9020000}"/>
              </a:ext>
            </a:extLst>
          </xdr:cNvPr>
          <xdr:cNvSpPr/>
        </xdr:nvSpPr>
        <xdr:spPr>
          <a:xfrm>
            <a:off x="9238095" y="5441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62" name="Ellipse 761">
            <a:extLst>
              <a:ext uri="{FF2B5EF4-FFF2-40B4-BE49-F238E27FC236}">
                <a16:creationId xmlns:a16="http://schemas.microsoft.com/office/drawing/2014/main" id="{00000000-0008-0000-0900-0000FA020000}"/>
              </a:ext>
            </a:extLst>
          </xdr:cNvPr>
          <xdr:cNvSpPr/>
        </xdr:nvSpPr>
        <xdr:spPr>
          <a:xfrm>
            <a:off x="9971520" y="5441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63" name="Ellipse 762">
            <a:extLst>
              <a:ext uri="{FF2B5EF4-FFF2-40B4-BE49-F238E27FC236}">
                <a16:creationId xmlns:a16="http://schemas.microsoft.com/office/drawing/2014/main" id="{00000000-0008-0000-0900-0000FB020000}"/>
              </a:ext>
            </a:extLst>
          </xdr:cNvPr>
          <xdr:cNvSpPr/>
        </xdr:nvSpPr>
        <xdr:spPr>
          <a:xfrm>
            <a:off x="8504670" y="5441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64" name="Ellipse 763">
            <a:extLst>
              <a:ext uri="{FF2B5EF4-FFF2-40B4-BE49-F238E27FC236}">
                <a16:creationId xmlns:a16="http://schemas.microsoft.com/office/drawing/2014/main" id="{00000000-0008-0000-0900-0000FC020000}"/>
              </a:ext>
            </a:extLst>
          </xdr:cNvPr>
          <xdr:cNvSpPr/>
        </xdr:nvSpPr>
        <xdr:spPr>
          <a:xfrm>
            <a:off x="9600045" y="4812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65" name="Ellipse 764">
            <a:extLst>
              <a:ext uri="{FF2B5EF4-FFF2-40B4-BE49-F238E27FC236}">
                <a16:creationId xmlns:a16="http://schemas.microsoft.com/office/drawing/2014/main" id="{00000000-0008-0000-0900-0000FD020000}"/>
              </a:ext>
            </a:extLst>
          </xdr:cNvPr>
          <xdr:cNvSpPr/>
        </xdr:nvSpPr>
        <xdr:spPr>
          <a:xfrm>
            <a:off x="10333470" y="4812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66" name="Ellipse 765">
            <a:extLst>
              <a:ext uri="{FF2B5EF4-FFF2-40B4-BE49-F238E27FC236}">
                <a16:creationId xmlns:a16="http://schemas.microsoft.com/office/drawing/2014/main" id="{00000000-0008-0000-0900-0000FE020000}"/>
              </a:ext>
            </a:extLst>
          </xdr:cNvPr>
          <xdr:cNvSpPr/>
        </xdr:nvSpPr>
        <xdr:spPr>
          <a:xfrm>
            <a:off x="8866620" y="4812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67" name="Ellipse 766">
            <a:extLst>
              <a:ext uri="{FF2B5EF4-FFF2-40B4-BE49-F238E27FC236}">
                <a16:creationId xmlns:a16="http://schemas.microsoft.com/office/drawing/2014/main" id="{00000000-0008-0000-0900-0000FF020000}"/>
              </a:ext>
            </a:extLst>
          </xdr:cNvPr>
          <xdr:cNvSpPr/>
        </xdr:nvSpPr>
        <xdr:spPr>
          <a:xfrm>
            <a:off x="9247620" y="6698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68" name="Ellipse 767">
            <a:extLst>
              <a:ext uri="{FF2B5EF4-FFF2-40B4-BE49-F238E27FC236}">
                <a16:creationId xmlns:a16="http://schemas.microsoft.com/office/drawing/2014/main" id="{00000000-0008-0000-0900-000000030000}"/>
              </a:ext>
            </a:extLst>
          </xdr:cNvPr>
          <xdr:cNvSpPr/>
        </xdr:nvSpPr>
        <xdr:spPr>
          <a:xfrm>
            <a:off x="9981045" y="6698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69" name="Ellipse 768">
            <a:extLst>
              <a:ext uri="{FF2B5EF4-FFF2-40B4-BE49-F238E27FC236}">
                <a16:creationId xmlns:a16="http://schemas.microsoft.com/office/drawing/2014/main" id="{00000000-0008-0000-0900-000001030000}"/>
              </a:ext>
            </a:extLst>
          </xdr:cNvPr>
          <xdr:cNvSpPr/>
        </xdr:nvSpPr>
        <xdr:spPr>
          <a:xfrm>
            <a:off x="8514195" y="6698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70" name="Ellipse 769">
            <a:extLst>
              <a:ext uri="{FF2B5EF4-FFF2-40B4-BE49-F238E27FC236}">
                <a16:creationId xmlns:a16="http://schemas.microsoft.com/office/drawing/2014/main" id="{00000000-0008-0000-0900-000002030000}"/>
              </a:ext>
            </a:extLst>
          </xdr:cNvPr>
          <xdr:cNvSpPr/>
        </xdr:nvSpPr>
        <xdr:spPr>
          <a:xfrm>
            <a:off x="9609570" y="6069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71" name="Ellipse 770">
            <a:extLst>
              <a:ext uri="{FF2B5EF4-FFF2-40B4-BE49-F238E27FC236}">
                <a16:creationId xmlns:a16="http://schemas.microsoft.com/office/drawing/2014/main" id="{00000000-0008-0000-0900-000003030000}"/>
              </a:ext>
            </a:extLst>
          </xdr:cNvPr>
          <xdr:cNvSpPr/>
        </xdr:nvSpPr>
        <xdr:spPr>
          <a:xfrm>
            <a:off x="10342995" y="6069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72" name="Ellipse 771">
            <a:extLst>
              <a:ext uri="{FF2B5EF4-FFF2-40B4-BE49-F238E27FC236}">
                <a16:creationId xmlns:a16="http://schemas.microsoft.com/office/drawing/2014/main" id="{00000000-0008-0000-0900-000004030000}"/>
              </a:ext>
            </a:extLst>
          </xdr:cNvPr>
          <xdr:cNvSpPr/>
        </xdr:nvSpPr>
        <xdr:spPr>
          <a:xfrm>
            <a:off x="8876145" y="6069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73" name="Ellipse 772">
            <a:extLst>
              <a:ext uri="{FF2B5EF4-FFF2-40B4-BE49-F238E27FC236}">
                <a16:creationId xmlns:a16="http://schemas.microsoft.com/office/drawing/2014/main" id="{00000000-0008-0000-0900-000005030000}"/>
              </a:ext>
            </a:extLst>
          </xdr:cNvPr>
          <xdr:cNvSpPr/>
        </xdr:nvSpPr>
        <xdr:spPr>
          <a:xfrm>
            <a:off x="10704945" y="5441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74" name="Ellipse 773">
            <a:extLst>
              <a:ext uri="{FF2B5EF4-FFF2-40B4-BE49-F238E27FC236}">
                <a16:creationId xmlns:a16="http://schemas.microsoft.com/office/drawing/2014/main" id="{00000000-0008-0000-0900-000006030000}"/>
              </a:ext>
            </a:extLst>
          </xdr:cNvPr>
          <xdr:cNvSpPr/>
        </xdr:nvSpPr>
        <xdr:spPr>
          <a:xfrm>
            <a:off x="11447895" y="6698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75" name="Ellipse 774">
            <a:extLst>
              <a:ext uri="{FF2B5EF4-FFF2-40B4-BE49-F238E27FC236}">
                <a16:creationId xmlns:a16="http://schemas.microsoft.com/office/drawing/2014/main" id="{00000000-0008-0000-0900-000007030000}"/>
              </a:ext>
            </a:extLst>
          </xdr:cNvPr>
          <xdr:cNvSpPr/>
        </xdr:nvSpPr>
        <xdr:spPr>
          <a:xfrm>
            <a:off x="10714470" y="6698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76" name="Ellipse 775">
            <a:extLst>
              <a:ext uri="{FF2B5EF4-FFF2-40B4-BE49-F238E27FC236}">
                <a16:creationId xmlns:a16="http://schemas.microsoft.com/office/drawing/2014/main" id="{00000000-0008-0000-0900-000008030000}"/>
              </a:ext>
            </a:extLst>
          </xdr:cNvPr>
          <xdr:cNvSpPr/>
        </xdr:nvSpPr>
        <xdr:spPr>
          <a:xfrm>
            <a:off x="11076420" y="6069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77" name="Ellipse 776">
            <a:extLst>
              <a:ext uri="{FF2B5EF4-FFF2-40B4-BE49-F238E27FC236}">
                <a16:creationId xmlns:a16="http://schemas.microsoft.com/office/drawing/2014/main" id="{00000000-0008-0000-0900-000009030000}"/>
              </a:ext>
            </a:extLst>
          </xdr:cNvPr>
          <xdr:cNvSpPr/>
        </xdr:nvSpPr>
        <xdr:spPr>
          <a:xfrm>
            <a:off x="9247620" y="79557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78" name="Ellipse 777">
            <a:extLst>
              <a:ext uri="{FF2B5EF4-FFF2-40B4-BE49-F238E27FC236}">
                <a16:creationId xmlns:a16="http://schemas.microsoft.com/office/drawing/2014/main" id="{00000000-0008-0000-0900-00000A030000}"/>
              </a:ext>
            </a:extLst>
          </xdr:cNvPr>
          <xdr:cNvSpPr/>
        </xdr:nvSpPr>
        <xdr:spPr>
          <a:xfrm>
            <a:off x="9981045" y="79557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79" name="Ellipse 778">
            <a:extLst>
              <a:ext uri="{FF2B5EF4-FFF2-40B4-BE49-F238E27FC236}">
                <a16:creationId xmlns:a16="http://schemas.microsoft.com/office/drawing/2014/main" id="{00000000-0008-0000-0900-00000B030000}"/>
              </a:ext>
            </a:extLst>
          </xdr:cNvPr>
          <xdr:cNvSpPr/>
        </xdr:nvSpPr>
        <xdr:spPr>
          <a:xfrm>
            <a:off x="8514195" y="79557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80" name="Ellipse 779">
            <a:extLst>
              <a:ext uri="{FF2B5EF4-FFF2-40B4-BE49-F238E27FC236}">
                <a16:creationId xmlns:a16="http://schemas.microsoft.com/office/drawing/2014/main" id="{00000000-0008-0000-0900-00000C030000}"/>
              </a:ext>
            </a:extLst>
          </xdr:cNvPr>
          <xdr:cNvSpPr/>
        </xdr:nvSpPr>
        <xdr:spPr>
          <a:xfrm>
            <a:off x="9609570" y="73271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81" name="Ellipse 780">
            <a:extLst>
              <a:ext uri="{FF2B5EF4-FFF2-40B4-BE49-F238E27FC236}">
                <a16:creationId xmlns:a16="http://schemas.microsoft.com/office/drawing/2014/main" id="{00000000-0008-0000-0900-00000D030000}"/>
              </a:ext>
            </a:extLst>
          </xdr:cNvPr>
          <xdr:cNvSpPr/>
        </xdr:nvSpPr>
        <xdr:spPr>
          <a:xfrm>
            <a:off x="10342995" y="73271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82" name="Ellipse 781">
            <a:extLst>
              <a:ext uri="{FF2B5EF4-FFF2-40B4-BE49-F238E27FC236}">
                <a16:creationId xmlns:a16="http://schemas.microsoft.com/office/drawing/2014/main" id="{00000000-0008-0000-0900-00000E030000}"/>
              </a:ext>
            </a:extLst>
          </xdr:cNvPr>
          <xdr:cNvSpPr/>
        </xdr:nvSpPr>
        <xdr:spPr>
          <a:xfrm>
            <a:off x="8876145" y="73271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83" name="Ellipse 782">
            <a:extLst>
              <a:ext uri="{FF2B5EF4-FFF2-40B4-BE49-F238E27FC236}">
                <a16:creationId xmlns:a16="http://schemas.microsoft.com/office/drawing/2014/main" id="{00000000-0008-0000-0900-00000F030000}"/>
              </a:ext>
            </a:extLst>
          </xdr:cNvPr>
          <xdr:cNvSpPr/>
        </xdr:nvSpPr>
        <xdr:spPr>
          <a:xfrm>
            <a:off x="9257145" y="92130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84" name="Ellipse 783">
            <a:extLst>
              <a:ext uri="{FF2B5EF4-FFF2-40B4-BE49-F238E27FC236}">
                <a16:creationId xmlns:a16="http://schemas.microsoft.com/office/drawing/2014/main" id="{00000000-0008-0000-0900-000010030000}"/>
              </a:ext>
            </a:extLst>
          </xdr:cNvPr>
          <xdr:cNvSpPr/>
        </xdr:nvSpPr>
        <xdr:spPr>
          <a:xfrm>
            <a:off x="9990570" y="92130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85" name="Ellipse 784">
            <a:extLst>
              <a:ext uri="{FF2B5EF4-FFF2-40B4-BE49-F238E27FC236}">
                <a16:creationId xmlns:a16="http://schemas.microsoft.com/office/drawing/2014/main" id="{00000000-0008-0000-0900-000011030000}"/>
              </a:ext>
            </a:extLst>
          </xdr:cNvPr>
          <xdr:cNvSpPr/>
        </xdr:nvSpPr>
        <xdr:spPr>
          <a:xfrm>
            <a:off x="8523720" y="92130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86" name="Ellipse 785">
            <a:extLst>
              <a:ext uri="{FF2B5EF4-FFF2-40B4-BE49-F238E27FC236}">
                <a16:creationId xmlns:a16="http://schemas.microsoft.com/office/drawing/2014/main" id="{00000000-0008-0000-0900-000012030000}"/>
              </a:ext>
            </a:extLst>
          </xdr:cNvPr>
          <xdr:cNvSpPr/>
        </xdr:nvSpPr>
        <xdr:spPr>
          <a:xfrm>
            <a:off x="9619095" y="85844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87" name="Ellipse 786">
            <a:extLst>
              <a:ext uri="{FF2B5EF4-FFF2-40B4-BE49-F238E27FC236}">
                <a16:creationId xmlns:a16="http://schemas.microsoft.com/office/drawing/2014/main" id="{00000000-0008-0000-0900-000013030000}"/>
              </a:ext>
            </a:extLst>
          </xdr:cNvPr>
          <xdr:cNvSpPr/>
        </xdr:nvSpPr>
        <xdr:spPr>
          <a:xfrm>
            <a:off x="10352520" y="85844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88" name="Ellipse 787">
            <a:extLst>
              <a:ext uri="{FF2B5EF4-FFF2-40B4-BE49-F238E27FC236}">
                <a16:creationId xmlns:a16="http://schemas.microsoft.com/office/drawing/2014/main" id="{00000000-0008-0000-0900-000014030000}"/>
              </a:ext>
            </a:extLst>
          </xdr:cNvPr>
          <xdr:cNvSpPr/>
        </xdr:nvSpPr>
        <xdr:spPr>
          <a:xfrm>
            <a:off x="8885670" y="85844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89" name="Ellipse 788">
            <a:extLst>
              <a:ext uri="{FF2B5EF4-FFF2-40B4-BE49-F238E27FC236}">
                <a16:creationId xmlns:a16="http://schemas.microsoft.com/office/drawing/2014/main" id="{00000000-0008-0000-0900-000015030000}"/>
              </a:ext>
            </a:extLst>
          </xdr:cNvPr>
          <xdr:cNvSpPr/>
        </xdr:nvSpPr>
        <xdr:spPr>
          <a:xfrm>
            <a:off x="11447895" y="79557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90" name="Ellipse 789">
            <a:extLst>
              <a:ext uri="{FF2B5EF4-FFF2-40B4-BE49-F238E27FC236}">
                <a16:creationId xmlns:a16="http://schemas.microsoft.com/office/drawing/2014/main" id="{00000000-0008-0000-0900-000016030000}"/>
              </a:ext>
            </a:extLst>
          </xdr:cNvPr>
          <xdr:cNvSpPr/>
        </xdr:nvSpPr>
        <xdr:spPr>
          <a:xfrm>
            <a:off x="12181320" y="79557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91" name="Ellipse 790">
            <a:extLst>
              <a:ext uri="{FF2B5EF4-FFF2-40B4-BE49-F238E27FC236}">
                <a16:creationId xmlns:a16="http://schemas.microsoft.com/office/drawing/2014/main" id="{00000000-0008-0000-0900-000017030000}"/>
              </a:ext>
            </a:extLst>
          </xdr:cNvPr>
          <xdr:cNvSpPr/>
        </xdr:nvSpPr>
        <xdr:spPr>
          <a:xfrm>
            <a:off x="10714470" y="79557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92" name="Ellipse 791">
            <a:extLst>
              <a:ext uri="{FF2B5EF4-FFF2-40B4-BE49-F238E27FC236}">
                <a16:creationId xmlns:a16="http://schemas.microsoft.com/office/drawing/2014/main" id="{00000000-0008-0000-0900-000018030000}"/>
              </a:ext>
            </a:extLst>
          </xdr:cNvPr>
          <xdr:cNvSpPr/>
        </xdr:nvSpPr>
        <xdr:spPr>
          <a:xfrm>
            <a:off x="11809845" y="73271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93" name="Ellipse 792">
            <a:extLst>
              <a:ext uri="{FF2B5EF4-FFF2-40B4-BE49-F238E27FC236}">
                <a16:creationId xmlns:a16="http://schemas.microsoft.com/office/drawing/2014/main" id="{00000000-0008-0000-0900-000019030000}"/>
              </a:ext>
            </a:extLst>
          </xdr:cNvPr>
          <xdr:cNvSpPr/>
        </xdr:nvSpPr>
        <xdr:spPr>
          <a:xfrm>
            <a:off x="11076420" y="73271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94" name="Ellipse 793">
            <a:extLst>
              <a:ext uri="{FF2B5EF4-FFF2-40B4-BE49-F238E27FC236}">
                <a16:creationId xmlns:a16="http://schemas.microsoft.com/office/drawing/2014/main" id="{00000000-0008-0000-0900-00001A030000}"/>
              </a:ext>
            </a:extLst>
          </xdr:cNvPr>
          <xdr:cNvSpPr/>
        </xdr:nvSpPr>
        <xdr:spPr>
          <a:xfrm>
            <a:off x="11457420" y="92130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95" name="Ellipse 794">
            <a:extLst>
              <a:ext uri="{FF2B5EF4-FFF2-40B4-BE49-F238E27FC236}">
                <a16:creationId xmlns:a16="http://schemas.microsoft.com/office/drawing/2014/main" id="{00000000-0008-0000-0900-00001B030000}"/>
              </a:ext>
            </a:extLst>
          </xdr:cNvPr>
          <xdr:cNvSpPr/>
        </xdr:nvSpPr>
        <xdr:spPr>
          <a:xfrm>
            <a:off x="12190845" y="92130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96" name="Ellipse 795">
            <a:extLst>
              <a:ext uri="{FF2B5EF4-FFF2-40B4-BE49-F238E27FC236}">
                <a16:creationId xmlns:a16="http://schemas.microsoft.com/office/drawing/2014/main" id="{00000000-0008-0000-0900-00001C030000}"/>
              </a:ext>
            </a:extLst>
          </xdr:cNvPr>
          <xdr:cNvSpPr/>
        </xdr:nvSpPr>
        <xdr:spPr>
          <a:xfrm>
            <a:off x="10723995" y="92130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97" name="Ellipse 796">
            <a:extLst>
              <a:ext uri="{FF2B5EF4-FFF2-40B4-BE49-F238E27FC236}">
                <a16:creationId xmlns:a16="http://schemas.microsoft.com/office/drawing/2014/main" id="{00000000-0008-0000-0900-00001D030000}"/>
              </a:ext>
            </a:extLst>
          </xdr:cNvPr>
          <xdr:cNvSpPr/>
        </xdr:nvSpPr>
        <xdr:spPr>
          <a:xfrm>
            <a:off x="11819370" y="85844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98" name="Ellipse 797">
            <a:extLst>
              <a:ext uri="{FF2B5EF4-FFF2-40B4-BE49-F238E27FC236}">
                <a16:creationId xmlns:a16="http://schemas.microsoft.com/office/drawing/2014/main" id="{00000000-0008-0000-0900-00001E030000}"/>
              </a:ext>
            </a:extLst>
          </xdr:cNvPr>
          <xdr:cNvSpPr/>
        </xdr:nvSpPr>
        <xdr:spPr>
          <a:xfrm>
            <a:off x="12552795" y="85844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99" name="Ellipse 798">
            <a:extLst>
              <a:ext uri="{FF2B5EF4-FFF2-40B4-BE49-F238E27FC236}">
                <a16:creationId xmlns:a16="http://schemas.microsoft.com/office/drawing/2014/main" id="{00000000-0008-0000-0900-00001F030000}"/>
              </a:ext>
            </a:extLst>
          </xdr:cNvPr>
          <xdr:cNvSpPr/>
        </xdr:nvSpPr>
        <xdr:spPr>
          <a:xfrm>
            <a:off x="11085945" y="85844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00" name="Ellipse 799">
            <a:extLst>
              <a:ext uri="{FF2B5EF4-FFF2-40B4-BE49-F238E27FC236}">
                <a16:creationId xmlns:a16="http://schemas.microsoft.com/office/drawing/2014/main" id="{00000000-0008-0000-0900-000020030000}"/>
              </a:ext>
            </a:extLst>
          </xdr:cNvPr>
          <xdr:cNvSpPr/>
        </xdr:nvSpPr>
        <xdr:spPr>
          <a:xfrm>
            <a:off x="4866120" y="104703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01" name="Ellipse 800">
            <a:extLst>
              <a:ext uri="{FF2B5EF4-FFF2-40B4-BE49-F238E27FC236}">
                <a16:creationId xmlns:a16="http://schemas.microsoft.com/office/drawing/2014/main" id="{00000000-0008-0000-0900-000021030000}"/>
              </a:ext>
            </a:extLst>
          </xdr:cNvPr>
          <xdr:cNvSpPr/>
        </xdr:nvSpPr>
        <xdr:spPr>
          <a:xfrm>
            <a:off x="5599545" y="104703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02" name="Ellipse 801">
            <a:extLst>
              <a:ext uri="{FF2B5EF4-FFF2-40B4-BE49-F238E27FC236}">
                <a16:creationId xmlns:a16="http://schemas.microsoft.com/office/drawing/2014/main" id="{00000000-0008-0000-0900-000022030000}"/>
              </a:ext>
            </a:extLst>
          </xdr:cNvPr>
          <xdr:cNvSpPr/>
        </xdr:nvSpPr>
        <xdr:spPr>
          <a:xfrm>
            <a:off x="5228070" y="98417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03" name="Ellipse 802">
            <a:extLst>
              <a:ext uri="{FF2B5EF4-FFF2-40B4-BE49-F238E27FC236}">
                <a16:creationId xmlns:a16="http://schemas.microsoft.com/office/drawing/2014/main" id="{00000000-0008-0000-0900-000023030000}"/>
              </a:ext>
            </a:extLst>
          </xdr:cNvPr>
          <xdr:cNvSpPr/>
        </xdr:nvSpPr>
        <xdr:spPr>
          <a:xfrm>
            <a:off x="5961495" y="98417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04" name="Ellipse 803">
            <a:extLst>
              <a:ext uri="{FF2B5EF4-FFF2-40B4-BE49-F238E27FC236}">
                <a16:creationId xmlns:a16="http://schemas.microsoft.com/office/drawing/2014/main" id="{00000000-0008-0000-0900-000024030000}"/>
              </a:ext>
            </a:extLst>
          </xdr:cNvPr>
          <xdr:cNvSpPr/>
        </xdr:nvSpPr>
        <xdr:spPr>
          <a:xfrm>
            <a:off x="4494645" y="98417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05" name="Ellipse 804">
            <a:extLst>
              <a:ext uri="{FF2B5EF4-FFF2-40B4-BE49-F238E27FC236}">
                <a16:creationId xmlns:a16="http://schemas.microsoft.com/office/drawing/2014/main" id="{00000000-0008-0000-0900-000025030000}"/>
              </a:ext>
            </a:extLst>
          </xdr:cNvPr>
          <xdr:cNvSpPr/>
        </xdr:nvSpPr>
        <xdr:spPr>
          <a:xfrm>
            <a:off x="5609070" y="117276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06" name="Ellipse 805">
            <a:extLst>
              <a:ext uri="{FF2B5EF4-FFF2-40B4-BE49-F238E27FC236}">
                <a16:creationId xmlns:a16="http://schemas.microsoft.com/office/drawing/2014/main" id="{00000000-0008-0000-0900-000026030000}"/>
              </a:ext>
            </a:extLst>
          </xdr:cNvPr>
          <xdr:cNvSpPr/>
        </xdr:nvSpPr>
        <xdr:spPr>
          <a:xfrm>
            <a:off x="5237595" y="11099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07" name="Ellipse 806">
            <a:extLst>
              <a:ext uri="{FF2B5EF4-FFF2-40B4-BE49-F238E27FC236}">
                <a16:creationId xmlns:a16="http://schemas.microsoft.com/office/drawing/2014/main" id="{00000000-0008-0000-0900-000027030000}"/>
              </a:ext>
            </a:extLst>
          </xdr:cNvPr>
          <xdr:cNvSpPr/>
        </xdr:nvSpPr>
        <xdr:spPr>
          <a:xfrm>
            <a:off x="5971020" y="11099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08" name="Ellipse 807">
            <a:extLst>
              <a:ext uri="{FF2B5EF4-FFF2-40B4-BE49-F238E27FC236}">
                <a16:creationId xmlns:a16="http://schemas.microsoft.com/office/drawing/2014/main" id="{00000000-0008-0000-0900-000028030000}"/>
              </a:ext>
            </a:extLst>
          </xdr:cNvPr>
          <xdr:cNvSpPr/>
        </xdr:nvSpPr>
        <xdr:spPr>
          <a:xfrm>
            <a:off x="7066395" y="104703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09" name="Ellipse 808">
            <a:extLst>
              <a:ext uri="{FF2B5EF4-FFF2-40B4-BE49-F238E27FC236}">
                <a16:creationId xmlns:a16="http://schemas.microsoft.com/office/drawing/2014/main" id="{00000000-0008-0000-0900-000029030000}"/>
              </a:ext>
            </a:extLst>
          </xdr:cNvPr>
          <xdr:cNvSpPr/>
        </xdr:nvSpPr>
        <xdr:spPr>
          <a:xfrm>
            <a:off x="7799820" y="104703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10" name="Ellipse 809">
            <a:extLst>
              <a:ext uri="{FF2B5EF4-FFF2-40B4-BE49-F238E27FC236}">
                <a16:creationId xmlns:a16="http://schemas.microsoft.com/office/drawing/2014/main" id="{00000000-0008-0000-0900-00002A030000}"/>
              </a:ext>
            </a:extLst>
          </xdr:cNvPr>
          <xdr:cNvSpPr/>
        </xdr:nvSpPr>
        <xdr:spPr>
          <a:xfrm>
            <a:off x="6332970" y="104703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11" name="Ellipse 810">
            <a:extLst>
              <a:ext uri="{FF2B5EF4-FFF2-40B4-BE49-F238E27FC236}">
                <a16:creationId xmlns:a16="http://schemas.microsoft.com/office/drawing/2014/main" id="{00000000-0008-0000-0900-00002B030000}"/>
              </a:ext>
            </a:extLst>
          </xdr:cNvPr>
          <xdr:cNvSpPr/>
        </xdr:nvSpPr>
        <xdr:spPr>
          <a:xfrm>
            <a:off x="7428345" y="98417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12" name="Ellipse 811">
            <a:extLst>
              <a:ext uri="{FF2B5EF4-FFF2-40B4-BE49-F238E27FC236}">
                <a16:creationId xmlns:a16="http://schemas.microsoft.com/office/drawing/2014/main" id="{00000000-0008-0000-0900-00002C030000}"/>
              </a:ext>
            </a:extLst>
          </xdr:cNvPr>
          <xdr:cNvSpPr/>
        </xdr:nvSpPr>
        <xdr:spPr>
          <a:xfrm>
            <a:off x="8161770" y="98417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13" name="Ellipse 812">
            <a:extLst>
              <a:ext uri="{FF2B5EF4-FFF2-40B4-BE49-F238E27FC236}">
                <a16:creationId xmlns:a16="http://schemas.microsoft.com/office/drawing/2014/main" id="{00000000-0008-0000-0900-00002D030000}"/>
              </a:ext>
            </a:extLst>
          </xdr:cNvPr>
          <xdr:cNvSpPr/>
        </xdr:nvSpPr>
        <xdr:spPr>
          <a:xfrm>
            <a:off x="6694920" y="98417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14" name="Ellipse 813">
            <a:extLst>
              <a:ext uri="{FF2B5EF4-FFF2-40B4-BE49-F238E27FC236}">
                <a16:creationId xmlns:a16="http://schemas.microsoft.com/office/drawing/2014/main" id="{00000000-0008-0000-0900-00002E030000}"/>
              </a:ext>
            </a:extLst>
          </xdr:cNvPr>
          <xdr:cNvSpPr/>
        </xdr:nvSpPr>
        <xdr:spPr>
          <a:xfrm>
            <a:off x="7075920" y="117276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15" name="Ellipse 814">
            <a:extLst>
              <a:ext uri="{FF2B5EF4-FFF2-40B4-BE49-F238E27FC236}">
                <a16:creationId xmlns:a16="http://schemas.microsoft.com/office/drawing/2014/main" id="{00000000-0008-0000-0900-00002F030000}"/>
              </a:ext>
            </a:extLst>
          </xdr:cNvPr>
          <xdr:cNvSpPr/>
        </xdr:nvSpPr>
        <xdr:spPr>
          <a:xfrm>
            <a:off x="7809345" y="117276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16" name="Ellipse 815">
            <a:extLst>
              <a:ext uri="{FF2B5EF4-FFF2-40B4-BE49-F238E27FC236}">
                <a16:creationId xmlns:a16="http://schemas.microsoft.com/office/drawing/2014/main" id="{00000000-0008-0000-0900-000030030000}"/>
              </a:ext>
            </a:extLst>
          </xdr:cNvPr>
          <xdr:cNvSpPr/>
        </xdr:nvSpPr>
        <xdr:spPr>
          <a:xfrm>
            <a:off x="6342495" y="117276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17" name="Ellipse 816">
            <a:extLst>
              <a:ext uri="{FF2B5EF4-FFF2-40B4-BE49-F238E27FC236}">
                <a16:creationId xmlns:a16="http://schemas.microsoft.com/office/drawing/2014/main" id="{00000000-0008-0000-0900-000031030000}"/>
              </a:ext>
            </a:extLst>
          </xdr:cNvPr>
          <xdr:cNvSpPr/>
        </xdr:nvSpPr>
        <xdr:spPr>
          <a:xfrm>
            <a:off x="7437870" y="11099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18" name="Ellipse 817">
            <a:extLst>
              <a:ext uri="{FF2B5EF4-FFF2-40B4-BE49-F238E27FC236}">
                <a16:creationId xmlns:a16="http://schemas.microsoft.com/office/drawing/2014/main" id="{00000000-0008-0000-0900-000032030000}"/>
              </a:ext>
            </a:extLst>
          </xdr:cNvPr>
          <xdr:cNvSpPr/>
        </xdr:nvSpPr>
        <xdr:spPr>
          <a:xfrm>
            <a:off x="8171295" y="11099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19" name="Ellipse 818">
            <a:extLst>
              <a:ext uri="{FF2B5EF4-FFF2-40B4-BE49-F238E27FC236}">
                <a16:creationId xmlns:a16="http://schemas.microsoft.com/office/drawing/2014/main" id="{00000000-0008-0000-0900-000033030000}"/>
              </a:ext>
            </a:extLst>
          </xdr:cNvPr>
          <xdr:cNvSpPr/>
        </xdr:nvSpPr>
        <xdr:spPr>
          <a:xfrm>
            <a:off x="6704445" y="11099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20" name="Ellipse 819">
            <a:extLst>
              <a:ext uri="{FF2B5EF4-FFF2-40B4-BE49-F238E27FC236}">
                <a16:creationId xmlns:a16="http://schemas.microsoft.com/office/drawing/2014/main" id="{00000000-0008-0000-0900-000034030000}"/>
              </a:ext>
            </a:extLst>
          </xdr:cNvPr>
          <xdr:cNvSpPr/>
        </xdr:nvSpPr>
        <xdr:spPr>
          <a:xfrm>
            <a:off x="9266670" y="104703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21" name="Ellipse 820">
            <a:extLst>
              <a:ext uri="{FF2B5EF4-FFF2-40B4-BE49-F238E27FC236}">
                <a16:creationId xmlns:a16="http://schemas.microsoft.com/office/drawing/2014/main" id="{00000000-0008-0000-0900-000035030000}"/>
              </a:ext>
            </a:extLst>
          </xdr:cNvPr>
          <xdr:cNvSpPr/>
        </xdr:nvSpPr>
        <xdr:spPr>
          <a:xfrm>
            <a:off x="10000095" y="104703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22" name="Ellipse 821">
            <a:extLst>
              <a:ext uri="{FF2B5EF4-FFF2-40B4-BE49-F238E27FC236}">
                <a16:creationId xmlns:a16="http://schemas.microsoft.com/office/drawing/2014/main" id="{00000000-0008-0000-0900-000036030000}"/>
              </a:ext>
            </a:extLst>
          </xdr:cNvPr>
          <xdr:cNvSpPr/>
        </xdr:nvSpPr>
        <xdr:spPr>
          <a:xfrm>
            <a:off x="8533245" y="104703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23" name="Ellipse 822">
            <a:extLst>
              <a:ext uri="{FF2B5EF4-FFF2-40B4-BE49-F238E27FC236}">
                <a16:creationId xmlns:a16="http://schemas.microsoft.com/office/drawing/2014/main" id="{00000000-0008-0000-0900-000037030000}"/>
              </a:ext>
            </a:extLst>
          </xdr:cNvPr>
          <xdr:cNvSpPr/>
        </xdr:nvSpPr>
        <xdr:spPr>
          <a:xfrm>
            <a:off x="9628620" y="98417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24" name="Ellipse 823">
            <a:extLst>
              <a:ext uri="{FF2B5EF4-FFF2-40B4-BE49-F238E27FC236}">
                <a16:creationId xmlns:a16="http://schemas.microsoft.com/office/drawing/2014/main" id="{00000000-0008-0000-0900-000038030000}"/>
              </a:ext>
            </a:extLst>
          </xdr:cNvPr>
          <xdr:cNvSpPr/>
        </xdr:nvSpPr>
        <xdr:spPr>
          <a:xfrm>
            <a:off x="10362045" y="98417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25" name="Ellipse 824">
            <a:extLst>
              <a:ext uri="{FF2B5EF4-FFF2-40B4-BE49-F238E27FC236}">
                <a16:creationId xmlns:a16="http://schemas.microsoft.com/office/drawing/2014/main" id="{00000000-0008-0000-0900-000039030000}"/>
              </a:ext>
            </a:extLst>
          </xdr:cNvPr>
          <xdr:cNvSpPr/>
        </xdr:nvSpPr>
        <xdr:spPr>
          <a:xfrm>
            <a:off x="8895195" y="98417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26" name="Ellipse 825">
            <a:extLst>
              <a:ext uri="{FF2B5EF4-FFF2-40B4-BE49-F238E27FC236}">
                <a16:creationId xmlns:a16="http://schemas.microsoft.com/office/drawing/2014/main" id="{00000000-0008-0000-0900-00003A030000}"/>
              </a:ext>
            </a:extLst>
          </xdr:cNvPr>
          <xdr:cNvSpPr/>
        </xdr:nvSpPr>
        <xdr:spPr>
          <a:xfrm>
            <a:off x="9276195" y="117276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27" name="Ellipse 826">
            <a:extLst>
              <a:ext uri="{FF2B5EF4-FFF2-40B4-BE49-F238E27FC236}">
                <a16:creationId xmlns:a16="http://schemas.microsoft.com/office/drawing/2014/main" id="{00000000-0008-0000-0900-00003B030000}"/>
              </a:ext>
            </a:extLst>
          </xdr:cNvPr>
          <xdr:cNvSpPr/>
        </xdr:nvSpPr>
        <xdr:spPr>
          <a:xfrm>
            <a:off x="10009620" y="117276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28" name="Ellipse 827">
            <a:extLst>
              <a:ext uri="{FF2B5EF4-FFF2-40B4-BE49-F238E27FC236}">
                <a16:creationId xmlns:a16="http://schemas.microsoft.com/office/drawing/2014/main" id="{00000000-0008-0000-0900-00003C030000}"/>
              </a:ext>
            </a:extLst>
          </xdr:cNvPr>
          <xdr:cNvSpPr/>
        </xdr:nvSpPr>
        <xdr:spPr>
          <a:xfrm>
            <a:off x="8542770" y="117276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29" name="Ellipse 828">
            <a:extLst>
              <a:ext uri="{FF2B5EF4-FFF2-40B4-BE49-F238E27FC236}">
                <a16:creationId xmlns:a16="http://schemas.microsoft.com/office/drawing/2014/main" id="{00000000-0008-0000-0900-00003D030000}"/>
              </a:ext>
            </a:extLst>
          </xdr:cNvPr>
          <xdr:cNvSpPr/>
        </xdr:nvSpPr>
        <xdr:spPr>
          <a:xfrm>
            <a:off x="9638145" y="11099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30" name="Ellipse 829">
            <a:extLst>
              <a:ext uri="{FF2B5EF4-FFF2-40B4-BE49-F238E27FC236}">
                <a16:creationId xmlns:a16="http://schemas.microsoft.com/office/drawing/2014/main" id="{00000000-0008-0000-0900-00003E030000}"/>
              </a:ext>
            </a:extLst>
          </xdr:cNvPr>
          <xdr:cNvSpPr/>
        </xdr:nvSpPr>
        <xdr:spPr>
          <a:xfrm>
            <a:off x="10371570" y="11099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31" name="Ellipse 830">
            <a:extLst>
              <a:ext uri="{FF2B5EF4-FFF2-40B4-BE49-F238E27FC236}">
                <a16:creationId xmlns:a16="http://schemas.microsoft.com/office/drawing/2014/main" id="{00000000-0008-0000-0900-00003F030000}"/>
              </a:ext>
            </a:extLst>
          </xdr:cNvPr>
          <xdr:cNvSpPr/>
        </xdr:nvSpPr>
        <xdr:spPr>
          <a:xfrm>
            <a:off x="8904720" y="11099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32" name="Ellipse 831">
            <a:extLst>
              <a:ext uri="{FF2B5EF4-FFF2-40B4-BE49-F238E27FC236}">
                <a16:creationId xmlns:a16="http://schemas.microsoft.com/office/drawing/2014/main" id="{00000000-0008-0000-0900-000040030000}"/>
              </a:ext>
            </a:extLst>
          </xdr:cNvPr>
          <xdr:cNvSpPr/>
        </xdr:nvSpPr>
        <xdr:spPr>
          <a:xfrm>
            <a:off x="11466945" y="104703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33" name="Ellipse 832">
            <a:extLst>
              <a:ext uri="{FF2B5EF4-FFF2-40B4-BE49-F238E27FC236}">
                <a16:creationId xmlns:a16="http://schemas.microsoft.com/office/drawing/2014/main" id="{00000000-0008-0000-0900-000041030000}"/>
              </a:ext>
            </a:extLst>
          </xdr:cNvPr>
          <xdr:cNvSpPr/>
        </xdr:nvSpPr>
        <xdr:spPr>
          <a:xfrm>
            <a:off x="10733520" y="104703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34" name="Ellipse 833">
            <a:extLst>
              <a:ext uri="{FF2B5EF4-FFF2-40B4-BE49-F238E27FC236}">
                <a16:creationId xmlns:a16="http://schemas.microsoft.com/office/drawing/2014/main" id="{00000000-0008-0000-0900-000042030000}"/>
              </a:ext>
            </a:extLst>
          </xdr:cNvPr>
          <xdr:cNvSpPr/>
        </xdr:nvSpPr>
        <xdr:spPr>
          <a:xfrm>
            <a:off x="11828895" y="98417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35" name="Ellipse 834">
            <a:extLst>
              <a:ext uri="{FF2B5EF4-FFF2-40B4-BE49-F238E27FC236}">
                <a16:creationId xmlns:a16="http://schemas.microsoft.com/office/drawing/2014/main" id="{00000000-0008-0000-0900-000043030000}"/>
              </a:ext>
            </a:extLst>
          </xdr:cNvPr>
          <xdr:cNvSpPr/>
        </xdr:nvSpPr>
        <xdr:spPr>
          <a:xfrm>
            <a:off x="11095470" y="98417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36" name="Ellipse 835">
            <a:extLst>
              <a:ext uri="{FF2B5EF4-FFF2-40B4-BE49-F238E27FC236}">
                <a16:creationId xmlns:a16="http://schemas.microsoft.com/office/drawing/2014/main" id="{00000000-0008-0000-0900-000044030000}"/>
              </a:ext>
            </a:extLst>
          </xdr:cNvPr>
          <xdr:cNvSpPr/>
        </xdr:nvSpPr>
        <xdr:spPr>
          <a:xfrm>
            <a:off x="10743045" y="117276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37" name="Ellipse 836">
            <a:extLst>
              <a:ext uri="{FF2B5EF4-FFF2-40B4-BE49-F238E27FC236}">
                <a16:creationId xmlns:a16="http://schemas.microsoft.com/office/drawing/2014/main" id="{00000000-0008-0000-0900-000045030000}"/>
              </a:ext>
            </a:extLst>
          </xdr:cNvPr>
          <xdr:cNvSpPr/>
        </xdr:nvSpPr>
        <xdr:spPr>
          <a:xfrm>
            <a:off x="11104995" y="11099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38" name="Ellipse 837">
            <a:extLst>
              <a:ext uri="{FF2B5EF4-FFF2-40B4-BE49-F238E27FC236}">
                <a16:creationId xmlns:a16="http://schemas.microsoft.com/office/drawing/2014/main" id="{00000000-0008-0000-0900-000046030000}"/>
              </a:ext>
            </a:extLst>
          </xdr:cNvPr>
          <xdr:cNvSpPr/>
        </xdr:nvSpPr>
        <xdr:spPr>
          <a:xfrm>
            <a:off x="3758045" y="8587575"/>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editAs="oneCell">
    <xdr:from>
      <xdr:col>19</xdr:col>
      <xdr:colOff>57150</xdr:colOff>
      <xdr:row>18</xdr:row>
      <xdr:rowOff>19050</xdr:rowOff>
    </xdr:from>
    <xdr:to>
      <xdr:col>20</xdr:col>
      <xdr:colOff>876075</xdr:colOff>
      <xdr:row>25</xdr:row>
      <xdr:rowOff>53975</xdr:rowOff>
    </xdr:to>
    <xdr:grpSp>
      <xdr:nvGrpSpPr>
        <xdr:cNvPr id="712" name="Groupe 711">
          <a:extLst>
            <a:ext uri="{FF2B5EF4-FFF2-40B4-BE49-F238E27FC236}">
              <a16:creationId xmlns:a16="http://schemas.microsoft.com/office/drawing/2014/main" id="{00000000-0008-0000-0900-0000C8020000}"/>
            </a:ext>
          </a:extLst>
        </xdr:cNvPr>
        <xdr:cNvGrpSpPr>
          <a:grpSpLocks noChangeAspect="1"/>
        </xdr:cNvGrpSpPr>
      </xdr:nvGrpSpPr>
      <xdr:grpSpPr>
        <a:xfrm>
          <a:off x="15413567" y="4210050"/>
          <a:ext cx="1803175" cy="1368425"/>
          <a:chOff x="12915900" y="4572000"/>
          <a:chExt cx="1800000" cy="1362075"/>
        </a:xfrm>
      </xdr:grpSpPr>
      <xdr:grpSp>
        <xdr:nvGrpSpPr>
          <xdr:cNvPr id="611" name="Groupe 610">
            <a:extLst>
              <a:ext uri="{FF2B5EF4-FFF2-40B4-BE49-F238E27FC236}">
                <a16:creationId xmlns:a16="http://schemas.microsoft.com/office/drawing/2014/main" id="{00000000-0008-0000-0900-000063020000}"/>
              </a:ext>
            </a:extLst>
          </xdr:cNvPr>
          <xdr:cNvGrpSpPr/>
        </xdr:nvGrpSpPr>
        <xdr:grpSpPr>
          <a:xfrm>
            <a:off x="12915900" y="4572000"/>
            <a:ext cx="1800000" cy="1097772"/>
            <a:chOff x="12917365" y="4572000"/>
            <a:chExt cx="1800000" cy="1097772"/>
          </a:xfrm>
        </xdr:grpSpPr>
        <xdr:grpSp>
          <xdr:nvGrpSpPr>
            <xdr:cNvPr id="327" name="Groupe 326">
              <a:extLst>
                <a:ext uri="{FF2B5EF4-FFF2-40B4-BE49-F238E27FC236}">
                  <a16:creationId xmlns:a16="http://schemas.microsoft.com/office/drawing/2014/main" id="{00000000-0008-0000-0900-000047010000}"/>
                </a:ext>
              </a:extLst>
            </xdr:cNvPr>
            <xdr:cNvGrpSpPr/>
          </xdr:nvGrpSpPr>
          <xdr:grpSpPr>
            <a:xfrm>
              <a:off x="13293283" y="5306390"/>
              <a:ext cx="468000" cy="349779"/>
              <a:chOff x="3927145" y="22139067"/>
              <a:chExt cx="4680004" cy="3497790"/>
            </a:xfrm>
          </xdr:grpSpPr>
          <xdr:cxnSp macro="">
            <xdr:nvCxnSpPr>
              <xdr:cNvPr id="334" name="Connecteur droit 333">
                <a:extLst>
                  <a:ext uri="{FF2B5EF4-FFF2-40B4-BE49-F238E27FC236}">
                    <a16:creationId xmlns:a16="http://schemas.microsoft.com/office/drawing/2014/main" id="{00000000-0008-0000-0900-00004E010000}"/>
                  </a:ext>
                </a:extLst>
              </xdr:cNvPr>
              <xdr:cNvCxnSpPr/>
            </xdr:nvCxnSpPr>
            <xdr:spPr>
              <a:xfrm>
                <a:off x="5710337" y="22139067"/>
                <a:ext cx="0" cy="216000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335" name="Connecteur droit 334">
                <a:extLst>
                  <a:ext uri="{FF2B5EF4-FFF2-40B4-BE49-F238E27FC236}">
                    <a16:creationId xmlns:a16="http://schemas.microsoft.com/office/drawing/2014/main" id="{00000000-0008-0000-0900-00004F010000}"/>
                  </a:ext>
                </a:extLst>
              </xdr:cNvPr>
              <xdr:cNvCxnSpPr/>
            </xdr:nvCxnSpPr>
            <xdr:spPr>
              <a:xfrm>
                <a:off x="7010398" y="22139067"/>
                <a:ext cx="0" cy="216000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336" name="Connecteur droit avec flèche 335">
                <a:extLst>
                  <a:ext uri="{FF2B5EF4-FFF2-40B4-BE49-F238E27FC236}">
                    <a16:creationId xmlns:a16="http://schemas.microsoft.com/office/drawing/2014/main" id="{00000000-0008-0000-0900-000050010000}"/>
                  </a:ext>
                </a:extLst>
              </xdr:cNvPr>
              <xdr:cNvCxnSpPr/>
            </xdr:nvCxnSpPr>
            <xdr:spPr>
              <a:xfrm flipV="1">
                <a:off x="3927145" y="25636857"/>
                <a:ext cx="4680004" cy="0"/>
              </a:xfrm>
              <a:prstGeom prst="straightConnector1">
                <a:avLst/>
              </a:prstGeom>
              <a:ln w="12700">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grpSp>
        <xdr:cxnSp macro="">
          <xdr:nvCxnSpPr>
            <xdr:cNvPr id="328" name="Connecteur droit 327">
              <a:extLst>
                <a:ext uri="{FF2B5EF4-FFF2-40B4-BE49-F238E27FC236}">
                  <a16:creationId xmlns:a16="http://schemas.microsoft.com/office/drawing/2014/main" id="{00000000-0008-0000-0900-000048010000}"/>
                </a:ext>
              </a:extLst>
            </xdr:cNvPr>
            <xdr:cNvCxnSpPr/>
          </xdr:nvCxnSpPr>
          <xdr:spPr>
            <a:xfrm>
              <a:off x="12922488" y="4572000"/>
              <a:ext cx="0" cy="900000"/>
            </a:xfrm>
            <a:prstGeom prst="lin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cxnSp>
        <xdr:cxnSp macro="">
          <xdr:nvCxnSpPr>
            <xdr:cNvPr id="329" name="Connecteur droit 328">
              <a:extLst>
                <a:ext uri="{FF2B5EF4-FFF2-40B4-BE49-F238E27FC236}">
                  <a16:creationId xmlns:a16="http://schemas.microsoft.com/office/drawing/2014/main" id="{00000000-0008-0000-0900-000049010000}"/>
                </a:ext>
              </a:extLst>
            </xdr:cNvPr>
            <xdr:cNvCxnSpPr/>
          </xdr:nvCxnSpPr>
          <xdr:spPr>
            <a:xfrm flipH="1">
              <a:off x="14712259" y="4572000"/>
              <a:ext cx="0" cy="900000"/>
            </a:xfrm>
            <a:prstGeom prst="lin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cxnSp>
        <xdr:grpSp>
          <xdr:nvGrpSpPr>
            <xdr:cNvPr id="469" name="Groupe 468">
              <a:extLst>
                <a:ext uri="{FF2B5EF4-FFF2-40B4-BE49-F238E27FC236}">
                  <a16:creationId xmlns:a16="http://schemas.microsoft.com/office/drawing/2014/main" id="{00000000-0008-0000-0900-0000D5010000}"/>
                </a:ext>
              </a:extLst>
            </xdr:cNvPr>
            <xdr:cNvGrpSpPr/>
          </xdr:nvGrpSpPr>
          <xdr:grpSpPr>
            <a:xfrm>
              <a:off x="12917365" y="4823485"/>
              <a:ext cx="1800000" cy="651634"/>
              <a:chOff x="12915254" y="4823485"/>
              <a:chExt cx="1800000" cy="651634"/>
            </a:xfrm>
          </xdr:grpSpPr>
          <xdr:grpSp>
            <xdr:nvGrpSpPr>
              <xdr:cNvPr id="322" name="Groupe 321">
                <a:extLst>
                  <a:ext uri="{FF2B5EF4-FFF2-40B4-BE49-F238E27FC236}">
                    <a16:creationId xmlns:a16="http://schemas.microsoft.com/office/drawing/2014/main" id="{00000000-0008-0000-0900-000042010000}"/>
                  </a:ext>
                </a:extLst>
              </xdr:cNvPr>
              <xdr:cNvGrpSpPr/>
            </xdr:nvGrpSpPr>
            <xdr:grpSpPr>
              <a:xfrm>
                <a:off x="13031036" y="5146457"/>
                <a:ext cx="438280" cy="322745"/>
                <a:chOff x="8382000" y="1143000"/>
                <a:chExt cx="4382795" cy="3227450"/>
              </a:xfrm>
            </xdr:grpSpPr>
            <xdr:sp macro="" textlink="">
              <xdr:nvSpPr>
                <xdr:cNvPr id="433" name="Ellipse 432">
                  <a:extLst>
                    <a:ext uri="{FF2B5EF4-FFF2-40B4-BE49-F238E27FC236}">
                      <a16:creationId xmlns:a16="http://schemas.microsoft.com/office/drawing/2014/main" id="{00000000-0008-0000-0900-0000B1010000}"/>
                    </a:ext>
                  </a:extLst>
                </xdr:cNvPr>
                <xdr:cNvSpPr/>
              </xdr:nvSpPr>
              <xdr:spPr>
                <a:xfrm>
                  <a:off x="911542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4" name="Ellipse 433">
                  <a:extLst>
                    <a:ext uri="{FF2B5EF4-FFF2-40B4-BE49-F238E27FC236}">
                      <a16:creationId xmlns:a16="http://schemas.microsoft.com/office/drawing/2014/main" id="{00000000-0008-0000-0900-0000B2010000}"/>
                    </a:ext>
                  </a:extLst>
                </xdr:cNvPr>
                <xdr:cNvSpPr/>
              </xdr:nvSpPr>
              <xdr:spPr>
                <a:xfrm>
                  <a:off x="984885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5" name="Ellipse 434">
                  <a:extLst>
                    <a:ext uri="{FF2B5EF4-FFF2-40B4-BE49-F238E27FC236}">
                      <a16:creationId xmlns:a16="http://schemas.microsoft.com/office/drawing/2014/main" id="{00000000-0008-0000-0900-0000B3010000}"/>
                    </a:ext>
                  </a:extLst>
                </xdr:cNvPr>
                <xdr:cNvSpPr/>
              </xdr:nvSpPr>
              <xdr:spPr>
                <a:xfrm>
                  <a:off x="838200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6" name="Ellipse 435">
                  <a:extLst>
                    <a:ext uri="{FF2B5EF4-FFF2-40B4-BE49-F238E27FC236}">
                      <a16:creationId xmlns:a16="http://schemas.microsoft.com/office/drawing/2014/main" id="{00000000-0008-0000-0900-0000B4010000}"/>
                    </a:ext>
                  </a:extLst>
                </xdr:cNvPr>
                <xdr:cNvSpPr/>
              </xdr:nvSpPr>
              <xdr:spPr>
                <a:xfrm>
                  <a:off x="947737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7" name="Ellipse 436">
                  <a:extLst>
                    <a:ext uri="{FF2B5EF4-FFF2-40B4-BE49-F238E27FC236}">
                      <a16:creationId xmlns:a16="http://schemas.microsoft.com/office/drawing/2014/main" id="{00000000-0008-0000-0900-0000B5010000}"/>
                    </a:ext>
                  </a:extLst>
                </xdr:cNvPr>
                <xdr:cNvSpPr/>
              </xdr:nvSpPr>
              <xdr:spPr>
                <a:xfrm>
                  <a:off x="1021080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8" name="Ellipse 437">
                  <a:extLst>
                    <a:ext uri="{FF2B5EF4-FFF2-40B4-BE49-F238E27FC236}">
                      <a16:creationId xmlns:a16="http://schemas.microsoft.com/office/drawing/2014/main" id="{00000000-0008-0000-0900-0000B6010000}"/>
                    </a:ext>
                  </a:extLst>
                </xdr:cNvPr>
                <xdr:cNvSpPr/>
              </xdr:nvSpPr>
              <xdr:spPr>
                <a:xfrm>
                  <a:off x="87439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9" name="Ellipse 438">
                  <a:extLst>
                    <a:ext uri="{FF2B5EF4-FFF2-40B4-BE49-F238E27FC236}">
                      <a16:creationId xmlns:a16="http://schemas.microsoft.com/office/drawing/2014/main" id="{00000000-0008-0000-0900-0000B7010000}"/>
                    </a:ext>
                  </a:extLst>
                </xdr:cNvPr>
                <xdr:cNvSpPr/>
              </xdr:nvSpPr>
              <xdr:spPr>
                <a:xfrm>
                  <a:off x="912495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0" name="Ellipse 439">
                  <a:extLst>
                    <a:ext uri="{FF2B5EF4-FFF2-40B4-BE49-F238E27FC236}">
                      <a16:creationId xmlns:a16="http://schemas.microsoft.com/office/drawing/2014/main" id="{00000000-0008-0000-0900-0000B8010000}"/>
                    </a:ext>
                  </a:extLst>
                </xdr:cNvPr>
                <xdr:cNvSpPr/>
              </xdr:nvSpPr>
              <xdr:spPr>
                <a:xfrm>
                  <a:off x="985837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1" name="Ellipse 440">
                  <a:extLst>
                    <a:ext uri="{FF2B5EF4-FFF2-40B4-BE49-F238E27FC236}">
                      <a16:creationId xmlns:a16="http://schemas.microsoft.com/office/drawing/2014/main" id="{00000000-0008-0000-0900-0000B9010000}"/>
                    </a:ext>
                  </a:extLst>
                </xdr:cNvPr>
                <xdr:cNvSpPr/>
              </xdr:nvSpPr>
              <xdr:spPr>
                <a:xfrm>
                  <a:off x="948690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2" name="Ellipse 441">
                  <a:extLst>
                    <a:ext uri="{FF2B5EF4-FFF2-40B4-BE49-F238E27FC236}">
                      <a16:creationId xmlns:a16="http://schemas.microsoft.com/office/drawing/2014/main" id="{00000000-0008-0000-0900-0000BA010000}"/>
                    </a:ext>
                  </a:extLst>
                </xdr:cNvPr>
                <xdr:cNvSpPr/>
              </xdr:nvSpPr>
              <xdr:spPr>
                <a:xfrm>
                  <a:off x="1021599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3" name="Ellipse 442">
                  <a:extLst>
                    <a:ext uri="{FF2B5EF4-FFF2-40B4-BE49-F238E27FC236}">
                      <a16:creationId xmlns:a16="http://schemas.microsoft.com/office/drawing/2014/main" id="{00000000-0008-0000-0900-0000BB010000}"/>
                    </a:ext>
                  </a:extLst>
                </xdr:cNvPr>
                <xdr:cNvSpPr/>
              </xdr:nvSpPr>
              <xdr:spPr>
                <a:xfrm>
                  <a:off x="875347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4" name="Ellipse 443">
                  <a:extLst>
                    <a:ext uri="{FF2B5EF4-FFF2-40B4-BE49-F238E27FC236}">
                      <a16:creationId xmlns:a16="http://schemas.microsoft.com/office/drawing/2014/main" id="{00000000-0008-0000-0900-0000BC010000}"/>
                    </a:ext>
                  </a:extLst>
                </xdr:cNvPr>
                <xdr:cNvSpPr/>
              </xdr:nvSpPr>
              <xdr:spPr>
                <a:xfrm>
                  <a:off x="1131137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5" name="Ellipse 444">
                  <a:extLst>
                    <a:ext uri="{FF2B5EF4-FFF2-40B4-BE49-F238E27FC236}">
                      <a16:creationId xmlns:a16="http://schemas.microsoft.com/office/drawing/2014/main" id="{00000000-0008-0000-0900-0000BD010000}"/>
                    </a:ext>
                  </a:extLst>
                </xdr:cNvPr>
                <xdr:cNvSpPr/>
              </xdr:nvSpPr>
              <xdr:spPr>
                <a:xfrm>
                  <a:off x="1204479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6" name="Ellipse 445">
                  <a:extLst>
                    <a:ext uri="{FF2B5EF4-FFF2-40B4-BE49-F238E27FC236}">
                      <a16:creationId xmlns:a16="http://schemas.microsoft.com/office/drawing/2014/main" id="{00000000-0008-0000-0900-0000BE010000}"/>
                    </a:ext>
                  </a:extLst>
                </xdr:cNvPr>
                <xdr:cNvSpPr/>
              </xdr:nvSpPr>
              <xdr:spPr>
                <a:xfrm>
                  <a:off x="1058227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7" name="Ellipse 446">
                  <a:extLst>
                    <a:ext uri="{FF2B5EF4-FFF2-40B4-BE49-F238E27FC236}">
                      <a16:creationId xmlns:a16="http://schemas.microsoft.com/office/drawing/2014/main" id="{00000000-0008-0000-0900-0000BF010000}"/>
                    </a:ext>
                  </a:extLst>
                </xdr:cNvPr>
                <xdr:cNvSpPr/>
              </xdr:nvSpPr>
              <xdr:spPr>
                <a:xfrm>
                  <a:off x="116776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8" name="Ellipse 447">
                  <a:extLst>
                    <a:ext uri="{FF2B5EF4-FFF2-40B4-BE49-F238E27FC236}">
                      <a16:creationId xmlns:a16="http://schemas.microsoft.com/office/drawing/2014/main" id="{00000000-0008-0000-0900-0000C0010000}"/>
                    </a:ext>
                  </a:extLst>
                </xdr:cNvPr>
                <xdr:cNvSpPr/>
              </xdr:nvSpPr>
              <xdr:spPr>
                <a:xfrm>
                  <a:off x="1094422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9" name="Ellipse 448">
                  <a:extLst>
                    <a:ext uri="{FF2B5EF4-FFF2-40B4-BE49-F238E27FC236}">
                      <a16:creationId xmlns:a16="http://schemas.microsoft.com/office/drawing/2014/main" id="{00000000-0008-0000-0900-0000C1010000}"/>
                    </a:ext>
                  </a:extLst>
                </xdr:cNvPr>
                <xdr:cNvSpPr/>
              </xdr:nvSpPr>
              <xdr:spPr>
                <a:xfrm>
                  <a:off x="1132522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50" name="Ellipse 449">
                  <a:extLst>
                    <a:ext uri="{FF2B5EF4-FFF2-40B4-BE49-F238E27FC236}">
                      <a16:creationId xmlns:a16="http://schemas.microsoft.com/office/drawing/2014/main" id="{00000000-0008-0000-0900-0000C2010000}"/>
                    </a:ext>
                  </a:extLst>
                </xdr:cNvPr>
                <xdr:cNvSpPr/>
              </xdr:nvSpPr>
              <xdr:spPr>
                <a:xfrm>
                  <a:off x="1059180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51" name="Ellipse 450">
                  <a:extLst>
                    <a:ext uri="{FF2B5EF4-FFF2-40B4-BE49-F238E27FC236}">
                      <a16:creationId xmlns:a16="http://schemas.microsoft.com/office/drawing/2014/main" id="{00000000-0008-0000-0900-0000C3010000}"/>
                    </a:ext>
                  </a:extLst>
                </xdr:cNvPr>
                <xdr:cNvSpPr/>
              </xdr:nvSpPr>
              <xdr:spPr>
                <a:xfrm>
                  <a:off x="1168284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52" name="Ellipse 451">
                  <a:extLst>
                    <a:ext uri="{FF2B5EF4-FFF2-40B4-BE49-F238E27FC236}">
                      <a16:creationId xmlns:a16="http://schemas.microsoft.com/office/drawing/2014/main" id="{00000000-0008-0000-0900-0000C4010000}"/>
                    </a:ext>
                  </a:extLst>
                </xdr:cNvPr>
                <xdr:cNvSpPr/>
              </xdr:nvSpPr>
              <xdr:spPr>
                <a:xfrm>
                  <a:off x="1094942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53" name="Ellipse 452">
                  <a:extLst>
                    <a:ext uri="{FF2B5EF4-FFF2-40B4-BE49-F238E27FC236}">
                      <a16:creationId xmlns:a16="http://schemas.microsoft.com/office/drawing/2014/main" id="{00000000-0008-0000-0900-0000C5010000}"/>
                    </a:ext>
                  </a:extLst>
                </xdr:cNvPr>
                <xdr:cNvSpPr/>
              </xdr:nvSpPr>
              <xdr:spPr>
                <a:xfrm>
                  <a:off x="911781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54" name="Ellipse 453">
                  <a:extLst>
                    <a:ext uri="{FF2B5EF4-FFF2-40B4-BE49-F238E27FC236}">
                      <a16:creationId xmlns:a16="http://schemas.microsoft.com/office/drawing/2014/main" id="{00000000-0008-0000-0900-0000C6010000}"/>
                    </a:ext>
                  </a:extLst>
                </xdr:cNvPr>
                <xdr:cNvSpPr/>
              </xdr:nvSpPr>
              <xdr:spPr>
                <a:xfrm>
                  <a:off x="985123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55" name="Ellipse 454">
                  <a:extLst>
                    <a:ext uri="{FF2B5EF4-FFF2-40B4-BE49-F238E27FC236}">
                      <a16:creationId xmlns:a16="http://schemas.microsoft.com/office/drawing/2014/main" id="{00000000-0008-0000-0900-0000C7010000}"/>
                    </a:ext>
                  </a:extLst>
                </xdr:cNvPr>
                <xdr:cNvSpPr/>
              </xdr:nvSpPr>
              <xdr:spPr>
                <a:xfrm>
                  <a:off x="1131808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56" name="Ellipse 455">
                  <a:extLst>
                    <a:ext uri="{FF2B5EF4-FFF2-40B4-BE49-F238E27FC236}">
                      <a16:creationId xmlns:a16="http://schemas.microsoft.com/office/drawing/2014/main" id="{00000000-0008-0000-0900-0000C8010000}"/>
                    </a:ext>
                  </a:extLst>
                </xdr:cNvPr>
                <xdr:cNvSpPr/>
              </xdr:nvSpPr>
              <xdr:spPr>
                <a:xfrm>
                  <a:off x="1058466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grpSp>
            <xdr:nvGrpSpPr>
              <xdr:cNvPr id="323" name="Groupe 322">
                <a:extLst>
                  <a:ext uri="{FF2B5EF4-FFF2-40B4-BE49-F238E27FC236}">
                    <a16:creationId xmlns:a16="http://schemas.microsoft.com/office/drawing/2014/main" id="{00000000-0008-0000-0900-000043010000}"/>
                  </a:ext>
                </a:extLst>
              </xdr:cNvPr>
              <xdr:cNvGrpSpPr/>
            </xdr:nvGrpSpPr>
            <xdr:grpSpPr>
              <a:xfrm>
                <a:off x="13031094" y="4823485"/>
                <a:ext cx="438280" cy="322745"/>
                <a:chOff x="8382000" y="1143000"/>
                <a:chExt cx="4382795" cy="3227450"/>
              </a:xfrm>
            </xdr:grpSpPr>
            <xdr:sp macro="" textlink="">
              <xdr:nvSpPr>
                <xdr:cNvPr id="409" name="Ellipse 408">
                  <a:extLst>
                    <a:ext uri="{FF2B5EF4-FFF2-40B4-BE49-F238E27FC236}">
                      <a16:creationId xmlns:a16="http://schemas.microsoft.com/office/drawing/2014/main" id="{00000000-0008-0000-0900-000099010000}"/>
                    </a:ext>
                  </a:extLst>
                </xdr:cNvPr>
                <xdr:cNvSpPr/>
              </xdr:nvSpPr>
              <xdr:spPr>
                <a:xfrm>
                  <a:off x="911542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0" name="Ellipse 409">
                  <a:extLst>
                    <a:ext uri="{FF2B5EF4-FFF2-40B4-BE49-F238E27FC236}">
                      <a16:creationId xmlns:a16="http://schemas.microsoft.com/office/drawing/2014/main" id="{00000000-0008-0000-0900-00009A010000}"/>
                    </a:ext>
                  </a:extLst>
                </xdr:cNvPr>
                <xdr:cNvSpPr/>
              </xdr:nvSpPr>
              <xdr:spPr>
                <a:xfrm>
                  <a:off x="984885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1" name="Ellipse 410">
                  <a:extLst>
                    <a:ext uri="{FF2B5EF4-FFF2-40B4-BE49-F238E27FC236}">
                      <a16:creationId xmlns:a16="http://schemas.microsoft.com/office/drawing/2014/main" id="{00000000-0008-0000-0900-00009B010000}"/>
                    </a:ext>
                  </a:extLst>
                </xdr:cNvPr>
                <xdr:cNvSpPr/>
              </xdr:nvSpPr>
              <xdr:spPr>
                <a:xfrm>
                  <a:off x="838200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2" name="Ellipse 411">
                  <a:extLst>
                    <a:ext uri="{FF2B5EF4-FFF2-40B4-BE49-F238E27FC236}">
                      <a16:creationId xmlns:a16="http://schemas.microsoft.com/office/drawing/2014/main" id="{00000000-0008-0000-0900-00009C010000}"/>
                    </a:ext>
                  </a:extLst>
                </xdr:cNvPr>
                <xdr:cNvSpPr/>
              </xdr:nvSpPr>
              <xdr:spPr>
                <a:xfrm>
                  <a:off x="947737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3" name="Ellipse 412">
                  <a:extLst>
                    <a:ext uri="{FF2B5EF4-FFF2-40B4-BE49-F238E27FC236}">
                      <a16:creationId xmlns:a16="http://schemas.microsoft.com/office/drawing/2014/main" id="{00000000-0008-0000-0900-00009D010000}"/>
                    </a:ext>
                  </a:extLst>
                </xdr:cNvPr>
                <xdr:cNvSpPr/>
              </xdr:nvSpPr>
              <xdr:spPr>
                <a:xfrm>
                  <a:off x="1021080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4" name="Ellipse 413">
                  <a:extLst>
                    <a:ext uri="{FF2B5EF4-FFF2-40B4-BE49-F238E27FC236}">
                      <a16:creationId xmlns:a16="http://schemas.microsoft.com/office/drawing/2014/main" id="{00000000-0008-0000-0900-00009E010000}"/>
                    </a:ext>
                  </a:extLst>
                </xdr:cNvPr>
                <xdr:cNvSpPr/>
              </xdr:nvSpPr>
              <xdr:spPr>
                <a:xfrm>
                  <a:off x="87439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5" name="Ellipse 414">
                  <a:extLst>
                    <a:ext uri="{FF2B5EF4-FFF2-40B4-BE49-F238E27FC236}">
                      <a16:creationId xmlns:a16="http://schemas.microsoft.com/office/drawing/2014/main" id="{00000000-0008-0000-0900-00009F010000}"/>
                    </a:ext>
                  </a:extLst>
                </xdr:cNvPr>
                <xdr:cNvSpPr/>
              </xdr:nvSpPr>
              <xdr:spPr>
                <a:xfrm>
                  <a:off x="912495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6" name="Ellipse 415">
                  <a:extLst>
                    <a:ext uri="{FF2B5EF4-FFF2-40B4-BE49-F238E27FC236}">
                      <a16:creationId xmlns:a16="http://schemas.microsoft.com/office/drawing/2014/main" id="{00000000-0008-0000-0900-0000A0010000}"/>
                    </a:ext>
                  </a:extLst>
                </xdr:cNvPr>
                <xdr:cNvSpPr/>
              </xdr:nvSpPr>
              <xdr:spPr>
                <a:xfrm>
                  <a:off x="985837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7" name="Ellipse 416">
                  <a:extLst>
                    <a:ext uri="{FF2B5EF4-FFF2-40B4-BE49-F238E27FC236}">
                      <a16:creationId xmlns:a16="http://schemas.microsoft.com/office/drawing/2014/main" id="{00000000-0008-0000-0900-0000A1010000}"/>
                    </a:ext>
                  </a:extLst>
                </xdr:cNvPr>
                <xdr:cNvSpPr/>
              </xdr:nvSpPr>
              <xdr:spPr>
                <a:xfrm>
                  <a:off x="948690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8" name="Ellipse 417">
                  <a:extLst>
                    <a:ext uri="{FF2B5EF4-FFF2-40B4-BE49-F238E27FC236}">
                      <a16:creationId xmlns:a16="http://schemas.microsoft.com/office/drawing/2014/main" id="{00000000-0008-0000-0900-0000A2010000}"/>
                    </a:ext>
                  </a:extLst>
                </xdr:cNvPr>
                <xdr:cNvSpPr/>
              </xdr:nvSpPr>
              <xdr:spPr>
                <a:xfrm>
                  <a:off x="1021599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9" name="Ellipse 418">
                  <a:extLst>
                    <a:ext uri="{FF2B5EF4-FFF2-40B4-BE49-F238E27FC236}">
                      <a16:creationId xmlns:a16="http://schemas.microsoft.com/office/drawing/2014/main" id="{00000000-0008-0000-0900-0000A3010000}"/>
                    </a:ext>
                  </a:extLst>
                </xdr:cNvPr>
                <xdr:cNvSpPr/>
              </xdr:nvSpPr>
              <xdr:spPr>
                <a:xfrm>
                  <a:off x="875347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0" name="Ellipse 419">
                  <a:extLst>
                    <a:ext uri="{FF2B5EF4-FFF2-40B4-BE49-F238E27FC236}">
                      <a16:creationId xmlns:a16="http://schemas.microsoft.com/office/drawing/2014/main" id="{00000000-0008-0000-0900-0000A4010000}"/>
                    </a:ext>
                  </a:extLst>
                </xdr:cNvPr>
                <xdr:cNvSpPr/>
              </xdr:nvSpPr>
              <xdr:spPr>
                <a:xfrm>
                  <a:off x="1131137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1" name="Ellipse 420">
                  <a:extLst>
                    <a:ext uri="{FF2B5EF4-FFF2-40B4-BE49-F238E27FC236}">
                      <a16:creationId xmlns:a16="http://schemas.microsoft.com/office/drawing/2014/main" id="{00000000-0008-0000-0900-0000A5010000}"/>
                    </a:ext>
                  </a:extLst>
                </xdr:cNvPr>
                <xdr:cNvSpPr/>
              </xdr:nvSpPr>
              <xdr:spPr>
                <a:xfrm>
                  <a:off x="1204479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2" name="Ellipse 421">
                  <a:extLst>
                    <a:ext uri="{FF2B5EF4-FFF2-40B4-BE49-F238E27FC236}">
                      <a16:creationId xmlns:a16="http://schemas.microsoft.com/office/drawing/2014/main" id="{00000000-0008-0000-0900-0000A6010000}"/>
                    </a:ext>
                  </a:extLst>
                </xdr:cNvPr>
                <xdr:cNvSpPr/>
              </xdr:nvSpPr>
              <xdr:spPr>
                <a:xfrm>
                  <a:off x="1058227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3" name="Ellipse 422">
                  <a:extLst>
                    <a:ext uri="{FF2B5EF4-FFF2-40B4-BE49-F238E27FC236}">
                      <a16:creationId xmlns:a16="http://schemas.microsoft.com/office/drawing/2014/main" id="{00000000-0008-0000-0900-0000A7010000}"/>
                    </a:ext>
                  </a:extLst>
                </xdr:cNvPr>
                <xdr:cNvSpPr/>
              </xdr:nvSpPr>
              <xdr:spPr>
                <a:xfrm>
                  <a:off x="116776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4" name="Ellipse 423">
                  <a:extLst>
                    <a:ext uri="{FF2B5EF4-FFF2-40B4-BE49-F238E27FC236}">
                      <a16:creationId xmlns:a16="http://schemas.microsoft.com/office/drawing/2014/main" id="{00000000-0008-0000-0900-0000A8010000}"/>
                    </a:ext>
                  </a:extLst>
                </xdr:cNvPr>
                <xdr:cNvSpPr/>
              </xdr:nvSpPr>
              <xdr:spPr>
                <a:xfrm>
                  <a:off x="1094422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5" name="Ellipse 424">
                  <a:extLst>
                    <a:ext uri="{FF2B5EF4-FFF2-40B4-BE49-F238E27FC236}">
                      <a16:creationId xmlns:a16="http://schemas.microsoft.com/office/drawing/2014/main" id="{00000000-0008-0000-0900-0000A9010000}"/>
                    </a:ext>
                  </a:extLst>
                </xdr:cNvPr>
                <xdr:cNvSpPr/>
              </xdr:nvSpPr>
              <xdr:spPr>
                <a:xfrm>
                  <a:off x="1132522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6" name="Ellipse 425">
                  <a:extLst>
                    <a:ext uri="{FF2B5EF4-FFF2-40B4-BE49-F238E27FC236}">
                      <a16:creationId xmlns:a16="http://schemas.microsoft.com/office/drawing/2014/main" id="{00000000-0008-0000-0900-0000AA010000}"/>
                    </a:ext>
                  </a:extLst>
                </xdr:cNvPr>
                <xdr:cNvSpPr/>
              </xdr:nvSpPr>
              <xdr:spPr>
                <a:xfrm>
                  <a:off x="1059180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7" name="Ellipse 426">
                  <a:extLst>
                    <a:ext uri="{FF2B5EF4-FFF2-40B4-BE49-F238E27FC236}">
                      <a16:creationId xmlns:a16="http://schemas.microsoft.com/office/drawing/2014/main" id="{00000000-0008-0000-0900-0000AB010000}"/>
                    </a:ext>
                  </a:extLst>
                </xdr:cNvPr>
                <xdr:cNvSpPr/>
              </xdr:nvSpPr>
              <xdr:spPr>
                <a:xfrm>
                  <a:off x="1168284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8" name="Ellipse 427">
                  <a:extLst>
                    <a:ext uri="{FF2B5EF4-FFF2-40B4-BE49-F238E27FC236}">
                      <a16:creationId xmlns:a16="http://schemas.microsoft.com/office/drawing/2014/main" id="{00000000-0008-0000-0900-0000AC010000}"/>
                    </a:ext>
                  </a:extLst>
                </xdr:cNvPr>
                <xdr:cNvSpPr/>
              </xdr:nvSpPr>
              <xdr:spPr>
                <a:xfrm>
                  <a:off x="1094942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9" name="Ellipse 428">
                  <a:extLst>
                    <a:ext uri="{FF2B5EF4-FFF2-40B4-BE49-F238E27FC236}">
                      <a16:creationId xmlns:a16="http://schemas.microsoft.com/office/drawing/2014/main" id="{00000000-0008-0000-0900-0000AD010000}"/>
                    </a:ext>
                  </a:extLst>
                </xdr:cNvPr>
                <xdr:cNvSpPr/>
              </xdr:nvSpPr>
              <xdr:spPr>
                <a:xfrm>
                  <a:off x="911781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0" name="Ellipse 429">
                  <a:extLst>
                    <a:ext uri="{FF2B5EF4-FFF2-40B4-BE49-F238E27FC236}">
                      <a16:creationId xmlns:a16="http://schemas.microsoft.com/office/drawing/2014/main" id="{00000000-0008-0000-0900-0000AE010000}"/>
                    </a:ext>
                  </a:extLst>
                </xdr:cNvPr>
                <xdr:cNvSpPr/>
              </xdr:nvSpPr>
              <xdr:spPr>
                <a:xfrm>
                  <a:off x="985123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1" name="Ellipse 430">
                  <a:extLst>
                    <a:ext uri="{FF2B5EF4-FFF2-40B4-BE49-F238E27FC236}">
                      <a16:creationId xmlns:a16="http://schemas.microsoft.com/office/drawing/2014/main" id="{00000000-0008-0000-0900-0000AF010000}"/>
                    </a:ext>
                  </a:extLst>
                </xdr:cNvPr>
                <xdr:cNvSpPr/>
              </xdr:nvSpPr>
              <xdr:spPr>
                <a:xfrm>
                  <a:off x="1131808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2" name="Ellipse 431">
                  <a:extLst>
                    <a:ext uri="{FF2B5EF4-FFF2-40B4-BE49-F238E27FC236}">
                      <a16:creationId xmlns:a16="http://schemas.microsoft.com/office/drawing/2014/main" id="{00000000-0008-0000-0900-0000B0010000}"/>
                    </a:ext>
                  </a:extLst>
                </xdr:cNvPr>
                <xdr:cNvSpPr/>
              </xdr:nvSpPr>
              <xdr:spPr>
                <a:xfrm>
                  <a:off x="1058466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grpSp>
            <xdr:nvGrpSpPr>
              <xdr:cNvPr id="324" name="Groupe 323">
                <a:extLst>
                  <a:ext uri="{FF2B5EF4-FFF2-40B4-BE49-F238E27FC236}">
                    <a16:creationId xmlns:a16="http://schemas.microsoft.com/office/drawing/2014/main" id="{00000000-0008-0000-0900-000044010000}"/>
                  </a:ext>
                </a:extLst>
              </xdr:cNvPr>
              <xdr:cNvGrpSpPr/>
            </xdr:nvGrpSpPr>
            <xdr:grpSpPr>
              <a:xfrm>
                <a:off x="13600167" y="5146504"/>
                <a:ext cx="438280" cy="322745"/>
                <a:chOff x="8382000" y="1143000"/>
                <a:chExt cx="4382795" cy="3227450"/>
              </a:xfrm>
            </xdr:grpSpPr>
            <xdr:sp macro="" textlink="">
              <xdr:nvSpPr>
                <xdr:cNvPr id="385" name="Ellipse 384">
                  <a:extLst>
                    <a:ext uri="{FF2B5EF4-FFF2-40B4-BE49-F238E27FC236}">
                      <a16:creationId xmlns:a16="http://schemas.microsoft.com/office/drawing/2014/main" id="{00000000-0008-0000-0900-000081010000}"/>
                    </a:ext>
                  </a:extLst>
                </xdr:cNvPr>
                <xdr:cNvSpPr/>
              </xdr:nvSpPr>
              <xdr:spPr>
                <a:xfrm>
                  <a:off x="911542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6" name="Ellipse 385">
                  <a:extLst>
                    <a:ext uri="{FF2B5EF4-FFF2-40B4-BE49-F238E27FC236}">
                      <a16:creationId xmlns:a16="http://schemas.microsoft.com/office/drawing/2014/main" id="{00000000-0008-0000-0900-000082010000}"/>
                    </a:ext>
                  </a:extLst>
                </xdr:cNvPr>
                <xdr:cNvSpPr/>
              </xdr:nvSpPr>
              <xdr:spPr>
                <a:xfrm>
                  <a:off x="984885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7" name="Ellipse 386">
                  <a:extLst>
                    <a:ext uri="{FF2B5EF4-FFF2-40B4-BE49-F238E27FC236}">
                      <a16:creationId xmlns:a16="http://schemas.microsoft.com/office/drawing/2014/main" id="{00000000-0008-0000-0900-000083010000}"/>
                    </a:ext>
                  </a:extLst>
                </xdr:cNvPr>
                <xdr:cNvSpPr/>
              </xdr:nvSpPr>
              <xdr:spPr>
                <a:xfrm>
                  <a:off x="838200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8" name="Ellipse 387">
                  <a:extLst>
                    <a:ext uri="{FF2B5EF4-FFF2-40B4-BE49-F238E27FC236}">
                      <a16:creationId xmlns:a16="http://schemas.microsoft.com/office/drawing/2014/main" id="{00000000-0008-0000-0900-000084010000}"/>
                    </a:ext>
                  </a:extLst>
                </xdr:cNvPr>
                <xdr:cNvSpPr/>
              </xdr:nvSpPr>
              <xdr:spPr>
                <a:xfrm>
                  <a:off x="947737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9" name="Ellipse 388">
                  <a:extLst>
                    <a:ext uri="{FF2B5EF4-FFF2-40B4-BE49-F238E27FC236}">
                      <a16:creationId xmlns:a16="http://schemas.microsoft.com/office/drawing/2014/main" id="{00000000-0008-0000-0900-000085010000}"/>
                    </a:ext>
                  </a:extLst>
                </xdr:cNvPr>
                <xdr:cNvSpPr/>
              </xdr:nvSpPr>
              <xdr:spPr>
                <a:xfrm>
                  <a:off x="1021080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0" name="Ellipse 389">
                  <a:extLst>
                    <a:ext uri="{FF2B5EF4-FFF2-40B4-BE49-F238E27FC236}">
                      <a16:creationId xmlns:a16="http://schemas.microsoft.com/office/drawing/2014/main" id="{00000000-0008-0000-0900-000086010000}"/>
                    </a:ext>
                  </a:extLst>
                </xdr:cNvPr>
                <xdr:cNvSpPr/>
              </xdr:nvSpPr>
              <xdr:spPr>
                <a:xfrm>
                  <a:off x="87439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1" name="Ellipse 390">
                  <a:extLst>
                    <a:ext uri="{FF2B5EF4-FFF2-40B4-BE49-F238E27FC236}">
                      <a16:creationId xmlns:a16="http://schemas.microsoft.com/office/drawing/2014/main" id="{00000000-0008-0000-0900-000087010000}"/>
                    </a:ext>
                  </a:extLst>
                </xdr:cNvPr>
                <xdr:cNvSpPr/>
              </xdr:nvSpPr>
              <xdr:spPr>
                <a:xfrm>
                  <a:off x="912495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2" name="Ellipse 391">
                  <a:extLst>
                    <a:ext uri="{FF2B5EF4-FFF2-40B4-BE49-F238E27FC236}">
                      <a16:creationId xmlns:a16="http://schemas.microsoft.com/office/drawing/2014/main" id="{00000000-0008-0000-0900-000088010000}"/>
                    </a:ext>
                  </a:extLst>
                </xdr:cNvPr>
                <xdr:cNvSpPr/>
              </xdr:nvSpPr>
              <xdr:spPr>
                <a:xfrm>
                  <a:off x="985837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3" name="Ellipse 392">
                  <a:extLst>
                    <a:ext uri="{FF2B5EF4-FFF2-40B4-BE49-F238E27FC236}">
                      <a16:creationId xmlns:a16="http://schemas.microsoft.com/office/drawing/2014/main" id="{00000000-0008-0000-0900-000089010000}"/>
                    </a:ext>
                  </a:extLst>
                </xdr:cNvPr>
                <xdr:cNvSpPr/>
              </xdr:nvSpPr>
              <xdr:spPr>
                <a:xfrm>
                  <a:off x="948690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4" name="Ellipse 393">
                  <a:extLst>
                    <a:ext uri="{FF2B5EF4-FFF2-40B4-BE49-F238E27FC236}">
                      <a16:creationId xmlns:a16="http://schemas.microsoft.com/office/drawing/2014/main" id="{00000000-0008-0000-0900-00008A010000}"/>
                    </a:ext>
                  </a:extLst>
                </xdr:cNvPr>
                <xdr:cNvSpPr/>
              </xdr:nvSpPr>
              <xdr:spPr>
                <a:xfrm>
                  <a:off x="1021599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5" name="Ellipse 394">
                  <a:extLst>
                    <a:ext uri="{FF2B5EF4-FFF2-40B4-BE49-F238E27FC236}">
                      <a16:creationId xmlns:a16="http://schemas.microsoft.com/office/drawing/2014/main" id="{00000000-0008-0000-0900-00008B010000}"/>
                    </a:ext>
                  </a:extLst>
                </xdr:cNvPr>
                <xdr:cNvSpPr/>
              </xdr:nvSpPr>
              <xdr:spPr>
                <a:xfrm>
                  <a:off x="875347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6" name="Ellipse 395">
                  <a:extLst>
                    <a:ext uri="{FF2B5EF4-FFF2-40B4-BE49-F238E27FC236}">
                      <a16:creationId xmlns:a16="http://schemas.microsoft.com/office/drawing/2014/main" id="{00000000-0008-0000-0900-00008C010000}"/>
                    </a:ext>
                  </a:extLst>
                </xdr:cNvPr>
                <xdr:cNvSpPr/>
              </xdr:nvSpPr>
              <xdr:spPr>
                <a:xfrm>
                  <a:off x="1131137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7" name="Ellipse 396">
                  <a:extLst>
                    <a:ext uri="{FF2B5EF4-FFF2-40B4-BE49-F238E27FC236}">
                      <a16:creationId xmlns:a16="http://schemas.microsoft.com/office/drawing/2014/main" id="{00000000-0008-0000-0900-00008D010000}"/>
                    </a:ext>
                  </a:extLst>
                </xdr:cNvPr>
                <xdr:cNvSpPr/>
              </xdr:nvSpPr>
              <xdr:spPr>
                <a:xfrm>
                  <a:off x="1204479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8" name="Ellipse 397">
                  <a:extLst>
                    <a:ext uri="{FF2B5EF4-FFF2-40B4-BE49-F238E27FC236}">
                      <a16:creationId xmlns:a16="http://schemas.microsoft.com/office/drawing/2014/main" id="{00000000-0008-0000-0900-00008E010000}"/>
                    </a:ext>
                  </a:extLst>
                </xdr:cNvPr>
                <xdr:cNvSpPr/>
              </xdr:nvSpPr>
              <xdr:spPr>
                <a:xfrm>
                  <a:off x="1058227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9" name="Ellipse 398">
                  <a:extLst>
                    <a:ext uri="{FF2B5EF4-FFF2-40B4-BE49-F238E27FC236}">
                      <a16:creationId xmlns:a16="http://schemas.microsoft.com/office/drawing/2014/main" id="{00000000-0008-0000-0900-00008F010000}"/>
                    </a:ext>
                  </a:extLst>
                </xdr:cNvPr>
                <xdr:cNvSpPr/>
              </xdr:nvSpPr>
              <xdr:spPr>
                <a:xfrm>
                  <a:off x="116776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0" name="Ellipse 399">
                  <a:extLst>
                    <a:ext uri="{FF2B5EF4-FFF2-40B4-BE49-F238E27FC236}">
                      <a16:creationId xmlns:a16="http://schemas.microsoft.com/office/drawing/2014/main" id="{00000000-0008-0000-0900-000090010000}"/>
                    </a:ext>
                  </a:extLst>
                </xdr:cNvPr>
                <xdr:cNvSpPr/>
              </xdr:nvSpPr>
              <xdr:spPr>
                <a:xfrm>
                  <a:off x="1094422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1" name="Ellipse 400">
                  <a:extLst>
                    <a:ext uri="{FF2B5EF4-FFF2-40B4-BE49-F238E27FC236}">
                      <a16:creationId xmlns:a16="http://schemas.microsoft.com/office/drawing/2014/main" id="{00000000-0008-0000-0900-000091010000}"/>
                    </a:ext>
                  </a:extLst>
                </xdr:cNvPr>
                <xdr:cNvSpPr/>
              </xdr:nvSpPr>
              <xdr:spPr>
                <a:xfrm>
                  <a:off x="1132522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2" name="Ellipse 401">
                  <a:extLst>
                    <a:ext uri="{FF2B5EF4-FFF2-40B4-BE49-F238E27FC236}">
                      <a16:creationId xmlns:a16="http://schemas.microsoft.com/office/drawing/2014/main" id="{00000000-0008-0000-0900-000092010000}"/>
                    </a:ext>
                  </a:extLst>
                </xdr:cNvPr>
                <xdr:cNvSpPr/>
              </xdr:nvSpPr>
              <xdr:spPr>
                <a:xfrm>
                  <a:off x="1059180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3" name="Ellipse 402">
                  <a:extLst>
                    <a:ext uri="{FF2B5EF4-FFF2-40B4-BE49-F238E27FC236}">
                      <a16:creationId xmlns:a16="http://schemas.microsoft.com/office/drawing/2014/main" id="{00000000-0008-0000-0900-000093010000}"/>
                    </a:ext>
                  </a:extLst>
                </xdr:cNvPr>
                <xdr:cNvSpPr/>
              </xdr:nvSpPr>
              <xdr:spPr>
                <a:xfrm>
                  <a:off x="1168284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4" name="Ellipse 403">
                  <a:extLst>
                    <a:ext uri="{FF2B5EF4-FFF2-40B4-BE49-F238E27FC236}">
                      <a16:creationId xmlns:a16="http://schemas.microsoft.com/office/drawing/2014/main" id="{00000000-0008-0000-0900-000094010000}"/>
                    </a:ext>
                  </a:extLst>
                </xdr:cNvPr>
                <xdr:cNvSpPr/>
              </xdr:nvSpPr>
              <xdr:spPr>
                <a:xfrm>
                  <a:off x="1094942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5" name="Ellipse 404">
                  <a:extLst>
                    <a:ext uri="{FF2B5EF4-FFF2-40B4-BE49-F238E27FC236}">
                      <a16:creationId xmlns:a16="http://schemas.microsoft.com/office/drawing/2014/main" id="{00000000-0008-0000-0900-000095010000}"/>
                    </a:ext>
                  </a:extLst>
                </xdr:cNvPr>
                <xdr:cNvSpPr/>
              </xdr:nvSpPr>
              <xdr:spPr>
                <a:xfrm>
                  <a:off x="911781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6" name="Ellipse 405">
                  <a:extLst>
                    <a:ext uri="{FF2B5EF4-FFF2-40B4-BE49-F238E27FC236}">
                      <a16:creationId xmlns:a16="http://schemas.microsoft.com/office/drawing/2014/main" id="{00000000-0008-0000-0900-000096010000}"/>
                    </a:ext>
                  </a:extLst>
                </xdr:cNvPr>
                <xdr:cNvSpPr/>
              </xdr:nvSpPr>
              <xdr:spPr>
                <a:xfrm>
                  <a:off x="985123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7" name="Ellipse 406">
                  <a:extLst>
                    <a:ext uri="{FF2B5EF4-FFF2-40B4-BE49-F238E27FC236}">
                      <a16:creationId xmlns:a16="http://schemas.microsoft.com/office/drawing/2014/main" id="{00000000-0008-0000-0900-000097010000}"/>
                    </a:ext>
                  </a:extLst>
                </xdr:cNvPr>
                <xdr:cNvSpPr/>
              </xdr:nvSpPr>
              <xdr:spPr>
                <a:xfrm>
                  <a:off x="1131808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8" name="Ellipse 407">
                  <a:extLst>
                    <a:ext uri="{FF2B5EF4-FFF2-40B4-BE49-F238E27FC236}">
                      <a16:creationId xmlns:a16="http://schemas.microsoft.com/office/drawing/2014/main" id="{00000000-0008-0000-0900-000098010000}"/>
                    </a:ext>
                  </a:extLst>
                </xdr:cNvPr>
                <xdr:cNvSpPr/>
              </xdr:nvSpPr>
              <xdr:spPr>
                <a:xfrm>
                  <a:off x="1058466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grpSp>
            <xdr:nvGrpSpPr>
              <xdr:cNvPr id="325" name="Groupe 324">
                <a:extLst>
                  <a:ext uri="{FF2B5EF4-FFF2-40B4-BE49-F238E27FC236}">
                    <a16:creationId xmlns:a16="http://schemas.microsoft.com/office/drawing/2014/main" id="{00000000-0008-0000-0900-000045010000}"/>
                  </a:ext>
                </a:extLst>
              </xdr:cNvPr>
              <xdr:cNvGrpSpPr/>
            </xdr:nvGrpSpPr>
            <xdr:grpSpPr>
              <a:xfrm>
                <a:off x="13600224" y="4823532"/>
                <a:ext cx="438280" cy="322745"/>
                <a:chOff x="8382000" y="1143000"/>
                <a:chExt cx="4382795" cy="3227450"/>
              </a:xfrm>
            </xdr:grpSpPr>
            <xdr:sp macro="" textlink="">
              <xdr:nvSpPr>
                <xdr:cNvPr id="361" name="Ellipse 360">
                  <a:extLst>
                    <a:ext uri="{FF2B5EF4-FFF2-40B4-BE49-F238E27FC236}">
                      <a16:creationId xmlns:a16="http://schemas.microsoft.com/office/drawing/2014/main" id="{00000000-0008-0000-0900-000069010000}"/>
                    </a:ext>
                  </a:extLst>
                </xdr:cNvPr>
                <xdr:cNvSpPr/>
              </xdr:nvSpPr>
              <xdr:spPr>
                <a:xfrm>
                  <a:off x="911542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2" name="Ellipse 361">
                  <a:extLst>
                    <a:ext uri="{FF2B5EF4-FFF2-40B4-BE49-F238E27FC236}">
                      <a16:creationId xmlns:a16="http://schemas.microsoft.com/office/drawing/2014/main" id="{00000000-0008-0000-0900-00006A010000}"/>
                    </a:ext>
                  </a:extLst>
                </xdr:cNvPr>
                <xdr:cNvSpPr/>
              </xdr:nvSpPr>
              <xdr:spPr>
                <a:xfrm>
                  <a:off x="984885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3" name="Ellipse 362">
                  <a:extLst>
                    <a:ext uri="{FF2B5EF4-FFF2-40B4-BE49-F238E27FC236}">
                      <a16:creationId xmlns:a16="http://schemas.microsoft.com/office/drawing/2014/main" id="{00000000-0008-0000-0900-00006B010000}"/>
                    </a:ext>
                  </a:extLst>
                </xdr:cNvPr>
                <xdr:cNvSpPr/>
              </xdr:nvSpPr>
              <xdr:spPr>
                <a:xfrm>
                  <a:off x="838200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4" name="Ellipse 363">
                  <a:extLst>
                    <a:ext uri="{FF2B5EF4-FFF2-40B4-BE49-F238E27FC236}">
                      <a16:creationId xmlns:a16="http://schemas.microsoft.com/office/drawing/2014/main" id="{00000000-0008-0000-0900-00006C010000}"/>
                    </a:ext>
                  </a:extLst>
                </xdr:cNvPr>
                <xdr:cNvSpPr/>
              </xdr:nvSpPr>
              <xdr:spPr>
                <a:xfrm>
                  <a:off x="947737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5" name="Ellipse 364">
                  <a:extLst>
                    <a:ext uri="{FF2B5EF4-FFF2-40B4-BE49-F238E27FC236}">
                      <a16:creationId xmlns:a16="http://schemas.microsoft.com/office/drawing/2014/main" id="{00000000-0008-0000-0900-00006D010000}"/>
                    </a:ext>
                  </a:extLst>
                </xdr:cNvPr>
                <xdr:cNvSpPr/>
              </xdr:nvSpPr>
              <xdr:spPr>
                <a:xfrm>
                  <a:off x="1021080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6" name="Ellipse 365">
                  <a:extLst>
                    <a:ext uri="{FF2B5EF4-FFF2-40B4-BE49-F238E27FC236}">
                      <a16:creationId xmlns:a16="http://schemas.microsoft.com/office/drawing/2014/main" id="{00000000-0008-0000-0900-00006E010000}"/>
                    </a:ext>
                  </a:extLst>
                </xdr:cNvPr>
                <xdr:cNvSpPr/>
              </xdr:nvSpPr>
              <xdr:spPr>
                <a:xfrm>
                  <a:off x="87439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7" name="Ellipse 366">
                  <a:extLst>
                    <a:ext uri="{FF2B5EF4-FFF2-40B4-BE49-F238E27FC236}">
                      <a16:creationId xmlns:a16="http://schemas.microsoft.com/office/drawing/2014/main" id="{00000000-0008-0000-0900-00006F010000}"/>
                    </a:ext>
                  </a:extLst>
                </xdr:cNvPr>
                <xdr:cNvSpPr/>
              </xdr:nvSpPr>
              <xdr:spPr>
                <a:xfrm>
                  <a:off x="912495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8" name="Ellipse 367">
                  <a:extLst>
                    <a:ext uri="{FF2B5EF4-FFF2-40B4-BE49-F238E27FC236}">
                      <a16:creationId xmlns:a16="http://schemas.microsoft.com/office/drawing/2014/main" id="{00000000-0008-0000-0900-000070010000}"/>
                    </a:ext>
                  </a:extLst>
                </xdr:cNvPr>
                <xdr:cNvSpPr/>
              </xdr:nvSpPr>
              <xdr:spPr>
                <a:xfrm>
                  <a:off x="985837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9" name="Ellipse 368">
                  <a:extLst>
                    <a:ext uri="{FF2B5EF4-FFF2-40B4-BE49-F238E27FC236}">
                      <a16:creationId xmlns:a16="http://schemas.microsoft.com/office/drawing/2014/main" id="{00000000-0008-0000-0900-000071010000}"/>
                    </a:ext>
                  </a:extLst>
                </xdr:cNvPr>
                <xdr:cNvSpPr/>
              </xdr:nvSpPr>
              <xdr:spPr>
                <a:xfrm>
                  <a:off x="948690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0" name="Ellipse 369">
                  <a:extLst>
                    <a:ext uri="{FF2B5EF4-FFF2-40B4-BE49-F238E27FC236}">
                      <a16:creationId xmlns:a16="http://schemas.microsoft.com/office/drawing/2014/main" id="{00000000-0008-0000-0900-000072010000}"/>
                    </a:ext>
                  </a:extLst>
                </xdr:cNvPr>
                <xdr:cNvSpPr/>
              </xdr:nvSpPr>
              <xdr:spPr>
                <a:xfrm>
                  <a:off x="1021599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1" name="Ellipse 370">
                  <a:extLst>
                    <a:ext uri="{FF2B5EF4-FFF2-40B4-BE49-F238E27FC236}">
                      <a16:creationId xmlns:a16="http://schemas.microsoft.com/office/drawing/2014/main" id="{00000000-0008-0000-0900-000073010000}"/>
                    </a:ext>
                  </a:extLst>
                </xdr:cNvPr>
                <xdr:cNvSpPr/>
              </xdr:nvSpPr>
              <xdr:spPr>
                <a:xfrm>
                  <a:off x="875347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2" name="Ellipse 371">
                  <a:extLst>
                    <a:ext uri="{FF2B5EF4-FFF2-40B4-BE49-F238E27FC236}">
                      <a16:creationId xmlns:a16="http://schemas.microsoft.com/office/drawing/2014/main" id="{00000000-0008-0000-0900-000074010000}"/>
                    </a:ext>
                  </a:extLst>
                </xdr:cNvPr>
                <xdr:cNvSpPr/>
              </xdr:nvSpPr>
              <xdr:spPr>
                <a:xfrm>
                  <a:off x="1131137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3" name="Ellipse 372">
                  <a:extLst>
                    <a:ext uri="{FF2B5EF4-FFF2-40B4-BE49-F238E27FC236}">
                      <a16:creationId xmlns:a16="http://schemas.microsoft.com/office/drawing/2014/main" id="{00000000-0008-0000-0900-000075010000}"/>
                    </a:ext>
                  </a:extLst>
                </xdr:cNvPr>
                <xdr:cNvSpPr/>
              </xdr:nvSpPr>
              <xdr:spPr>
                <a:xfrm>
                  <a:off x="1204479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4" name="Ellipse 373">
                  <a:extLst>
                    <a:ext uri="{FF2B5EF4-FFF2-40B4-BE49-F238E27FC236}">
                      <a16:creationId xmlns:a16="http://schemas.microsoft.com/office/drawing/2014/main" id="{00000000-0008-0000-0900-000076010000}"/>
                    </a:ext>
                  </a:extLst>
                </xdr:cNvPr>
                <xdr:cNvSpPr/>
              </xdr:nvSpPr>
              <xdr:spPr>
                <a:xfrm>
                  <a:off x="1058227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5" name="Ellipse 374">
                  <a:extLst>
                    <a:ext uri="{FF2B5EF4-FFF2-40B4-BE49-F238E27FC236}">
                      <a16:creationId xmlns:a16="http://schemas.microsoft.com/office/drawing/2014/main" id="{00000000-0008-0000-0900-000077010000}"/>
                    </a:ext>
                  </a:extLst>
                </xdr:cNvPr>
                <xdr:cNvSpPr/>
              </xdr:nvSpPr>
              <xdr:spPr>
                <a:xfrm>
                  <a:off x="116776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6" name="Ellipse 375">
                  <a:extLst>
                    <a:ext uri="{FF2B5EF4-FFF2-40B4-BE49-F238E27FC236}">
                      <a16:creationId xmlns:a16="http://schemas.microsoft.com/office/drawing/2014/main" id="{00000000-0008-0000-0900-000078010000}"/>
                    </a:ext>
                  </a:extLst>
                </xdr:cNvPr>
                <xdr:cNvSpPr/>
              </xdr:nvSpPr>
              <xdr:spPr>
                <a:xfrm>
                  <a:off x="1094422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7" name="Ellipse 376">
                  <a:extLst>
                    <a:ext uri="{FF2B5EF4-FFF2-40B4-BE49-F238E27FC236}">
                      <a16:creationId xmlns:a16="http://schemas.microsoft.com/office/drawing/2014/main" id="{00000000-0008-0000-0900-000079010000}"/>
                    </a:ext>
                  </a:extLst>
                </xdr:cNvPr>
                <xdr:cNvSpPr/>
              </xdr:nvSpPr>
              <xdr:spPr>
                <a:xfrm>
                  <a:off x="1132522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8" name="Ellipse 377">
                  <a:extLst>
                    <a:ext uri="{FF2B5EF4-FFF2-40B4-BE49-F238E27FC236}">
                      <a16:creationId xmlns:a16="http://schemas.microsoft.com/office/drawing/2014/main" id="{00000000-0008-0000-0900-00007A010000}"/>
                    </a:ext>
                  </a:extLst>
                </xdr:cNvPr>
                <xdr:cNvSpPr/>
              </xdr:nvSpPr>
              <xdr:spPr>
                <a:xfrm>
                  <a:off x="1059180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9" name="Ellipse 378">
                  <a:extLst>
                    <a:ext uri="{FF2B5EF4-FFF2-40B4-BE49-F238E27FC236}">
                      <a16:creationId xmlns:a16="http://schemas.microsoft.com/office/drawing/2014/main" id="{00000000-0008-0000-0900-00007B010000}"/>
                    </a:ext>
                  </a:extLst>
                </xdr:cNvPr>
                <xdr:cNvSpPr/>
              </xdr:nvSpPr>
              <xdr:spPr>
                <a:xfrm>
                  <a:off x="1168284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0" name="Ellipse 379">
                  <a:extLst>
                    <a:ext uri="{FF2B5EF4-FFF2-40B4-BE49-F238E27FC236}">
                      <a16:creationId xmlns:a16="http://schemas.microsoft.com/office/drawing/2014/main" id="{00000000-0008-0000-0900-00007C010000}"/>
                    </a:ext>
                  </a:extLst>
                </xdr:cNvPr>
                <xdr:cNvSpPr/>
              </xdr:nvSpPr>
              <xdr:spPr>
                <a:xfrm>
                  <a:off x="1094942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1" name="Ellipse 380">
                  <a:extLst>
                    <a:ext uri="{FF2B5EF4-FFF2-40B4-BE49-F238E27FC236}">
                      <a16:creationId xmlns:a16="http://schemas.microsoft.com/office/drawing/2014/main" id="{00000000-0008-0000-0900-00007D010000}"/>
                    </a:ext>
                  </a:extLst>
                </xdr:cNvPr>
                <xdr:cNvSpPr/>
              </xdr:nvSpPr>
              <xdr:spPr>
                <a:xfrm>
                  <a:off x="911781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2" name="Ellipse 381">
                  <a:extLst>
                    <a:ext uri="{FF2B5EF4-FFF2-40B4-BE49-F238E27FC236}">
                      <a16:creationId xmlns:a16="http://schemas.microsoft.com/office/drawing/2014/main" id="{00000000-0008-0000-0900-00007E010000}"/>
                    </a:ext>
                  </a:extLst>
                </xdr:cNvPr>
                <xdr:cNvSpPr/>
              </xdr:nvSpPr>
              <xdr:spPr>
                <a:xfrm>
                  <a:off x="985123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3" name="Ellipse 382">
                  <a:extLst>
                    <a:ext uri="{FF2B5EF4-FFF2-40B4-BE49-F238E27FC236}">
                      <a16:creationId xmlns:a16="http://schemas.microsoft.com/office/drawing/2014/main" id="{00000000-0008-0000-0900-00007F010000}"/>
                    </a:ext>
                  </a:extLst>
                </xdr:cNvPr>
                <xdr:cNvSpPr/>
              </xdr:nvSpPr>
              <xdr:spPr>
                <a:xfrm>
                  <a:off x="1131808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4" name="Ellipse 383">
                  <a:extLst>
                    <a:ext uri="{FF2B5EF4-FFF2-40B4-BE49-F238E27FC236}">
                      <a16:creationId xmlns:a16="http://schemas.microsoft.com/office/drawing/2014/main" id="{00000000-0008-0000-0900-000080010000}"/>
                    </a:ext>
                  </a:extLst>
                </xdr:cNvPr>
                <xdr:cNvSpPr/>
              </xdr:nvSpPr>
              <xdr:spPr>
                <a:xfrm>
                  <a:off x="1058466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grpSp>
            <xdr:nvGrpSpPr>
              <xdr:cNvPr id="326" name="Groupe 325">
                <a:extLst>
                  <a:ext uri="{FF2B5EF4-FFF2-40B4-BE49-F238E27FC236}">
                    <a16:creationId xmlns:a16="http://schemas.microsoft.com/office/drawing/2014/main" id="{00000000-0008-0000-0900-000046010000}"/>
                  </a:ext>
                </a:extLst>
              </xdr:cNvPr>
              <xdr:cNvGrpSpPr/>
            </xdr:nvGrpSpPr>
            <xdr:grpSpPr>
              <a:xfrm>
                <a:off x="14169361" y="5146292"/>
                <a:ext cx="438280" cy="322745"/>
                <a:chOff x="8382000" y="1143000"/>
                <a:chExt cx="4382795" cy="3227450"/>
              </a:xfrm>
            </xdr:grpSpPr>
            <xdr:sp macro="" textlink="">
              <xdr:nvSpPr>
                <xdr:cNvPr id="337" name="Ellipse 336">
                  <a:extLst>
                    <a:ext uri="{FF2B5EF4-FFF2-40B4-BE49-F238E27FC236}">
                      <a16:creationId xmlns:a16="http://schemas.microsoft.com/office/drawing/2014/main" id="{00000000-0008-0000-0900-000051010000}"/>
                    </a:ext>
                  </a:extLst>
                </xdr:cNvPr>
                <xdr:cNvSpPr/>
              </xdr:nvSpPr>
              <xdr:spPr>
                <a:xfrm>
                  <a:off x="911542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38" name="Ellipse 337">
                  <a:extLst>
                    <a:ext uri="{FF2B5EF4-FFF2-40B4-BE49-F238E27FC236}">
                      <a16:creationId xmlns:a16="http://schemas.microsoft.com/office/drawing/2014/main" id="{00000000-0008-0000-0900-000052010000}"/>
                    </a:ext>
                  </a:extLst>
                </xdr:cNvPr>
                <xdr:cNvSpPr/>
              </xdr:nvSpPr>
              <xdr:spPr>
                <a:xfrm>
                  <a:off x="984885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39" name="Ellipse 338">
                  <a:extLst>
                    <a:ext uri="{FF2B5EF4-FFF2-40B4-BE49-F238E27FC236}">
                      <a16:creationId xmlns:a16="http://schemas.microsoft.com/office/drawing/2014/main" id="{00000000-0008-0000-0900-000053010000}"/>
                    </a:ext>
                  </a:extLst>
                </xdr:cNvPr>
                <xdr:cNvSpPr/>
              </xdr:nvSpPr>
              <xdr:spPr>
                <a:xfrm>
                  <a:off x="838200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0" name="Ellipse 339">
                  <a:extLst>
                    <a:ext uri="{FF2B5EF4-FFF2-40B4-BE49-F238E27FC236}">
                      <a16:creationId xmlns:a16="http://schemas.microsoft.com/office/drawing/2014/main" id="{00000000-0008-0000-0900-000054010000}"/>
                    </a:ext>
                  </a:extLst>
                </xdr:cNvPr>
                <xdr:cNvSpPr/>
              </xdr:nvSpPr>
              <xdr:spPr>
                <a:xfrm>
                  <a:off x="947737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1" name="Ellipse 340">
                  <a:extLst>
                    <a:ext uri="{FF2B5EF4-FFF2-40B4-BE49-F238E27FC236}">
                      <a16:creationId xmlns:a16="http://schemas.microsoft.com/office/drawing/2014/main" id="{00000000-0008-0000-0900-000055010000}"/>
                    </a:ext>
                  </a:extLst>
                </xdr:cNvPr>
                <xdr:cNvSpPr/>
              </xdr:nvSpPr>
              <xdr:spPr>
                <a:xfrm>
                  <a:off x="1021080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2" name="Ellipse 341">
                  <a:extLst>
                    <a:ext uri="{FF2B5EF4-FFF2-40B4-BE49-F238E27FC236}">
                      <a16:creationId xmlns:a16="http://schemas.microsoft.com/office/drawing/2014/main" id="{00000000-0008-0000-0900-000056010000}"/>
                    </a:ext>
                  </a:extLst>
                </xdr:cNvPr>
                <xdr:cNvSpPr/>
              </xdr:nvSpPr>
              <xdr:spPr>
                <a:xfrm>
                  <a:off x="87439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3" name="Ellipse 342">
                  <a:extLst>
                    <a:ext uri="{FF2B5EF4-FFF2-40B4-BE49-F238E27FC236}">
                      <a16:creationId xmlns:a16="http://schemas.microsoft.com/office/drawing/2014/main" id="{00000000-0008-0000-0900-000057010000}"/>
                    </a:ext>
                  </a:extLst>
                </xdr:cNvPr>
                <xdr:cNvSpPr/>
              </xdr:nvSpPr>
              <xdr:spPr>
                <a:xfrm>
                  <a:off x="912495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4" name="Ellipse 343">
                  <a:extLst>
                    <a:ext uri="{FF2B5EF4-FFF2-40B4-BE49-F238E27FC236}">
                      <a16:creationId xmlns:a16="http://schemas.microsoft.com/office/drawing/2014/main" id="{00000000-0008-0000-0900-000058010000}"/>
                    </a:ext>
                  </a:extLst>
                </xdr:cNvPr>
                <xdr:cNvSpPr/>
              </xdr:nvSpPr>
              <xdr:spPr>
                <a:xfrm>
                  <a:off x="985837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5" name="Ellipse 344">
                  <a:extLst>
                    <a:ext uri="{FF2B5EF4-FFF2-40B4-BE49-F238E27FC236}">
                      <a16:creationId xmlns:a16="http://schemas.microsoft.com/office/drawing/2014/main" id="{00000000-0008-0000-0900-000059010000}"/>
                    </a:ext>
                  </a:extLst>
                </xdr:cNvPr>
                <xdr:cNvSpPr/>
              </xdr:nvSpPr>
              <xdr:spPr>
                <a:xfrm>
                  <a:off x="948690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6" name="Ellipse 345">
                  <a:extLst>
                    <a:ext uri="{FF2B5EF4-FFF2-40B4-BE49-F238E27FC236}">
                      <a16:creationId xmlns:a16="http://schemas.microsoft.com/office/drawing/2014/main" id="{00000000-0008-0000-0900-00005A010000}"/>
                    </a:ext>
                  </a:extLst>
                </xdr:cNvPr>
                <xdr:cNvSpPr/>
              </xdr:nvSpPr>
              <xdr:spPr>
                <a:xfrm>
                  <a:off x="1021599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7" name="Ellipse 346">
                  <a:extLst>
                    <a:ext uri="{FF2B5EF4-FFF2-40B4-BE49-F238E27FC236}">
                      <a16:creationId xmlns:a16="http://schemas.microsoft.com/office/drawing/2014/main" id="{00000000-0008-0000-0900-00005B010000}"/>
                    </a:ext>
                  </a:extLst>
                </xdr:cNvPr>
                <xdr:cNvSpPr/>
              </xdr:nvSpPr>
              <xdr:spPr>
                <a:xfrm>
                  <a:off x="875347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8" name="Ellipse 347">
                  <a:extLst>
                    <a:ext uri="{FF2B5EF4-FFF2-40B4-BE49-F238E27FC236}">
                      <a16:creationId xmlns:a16="http://schemas.microsoft.com/office/drawing/2014/main" id="{00000000-0008-0000-0900-00005C010000}"/>
                    </a:ext>
                  </a:extLst>
                </xdr:cNvPr>
                <xdr:cNvSpPr/>
              </xdr:nvSpPr>
              <xdr:spPr>
                <a:xfrm>
                  <a:off x="1131137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9" name="Ellipse 348">
                  <a:extLst>
                    <a:ext uri="{FF2B5EF4-FFF2-40B4-BE49-F238E27FC236}">
                      <a16:creationId xmlns:a16="http://schemas.microsoft.com/office/drawing/2014/main" id="{00000000-0008-0000-0900-00005D010000}"/>
                    </a:ext>
                  </a:extLst>
                </xdr:cNvPr>
                <xdr:cNvSpPr/>
              </xdr:nvSpPr>
              <xdr:spPr>
                <a:xfrm>
                  <a:off x="1204479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0" name="Ellipse 349">
                  <a:extLst>
                    <a:ext uri="{FF2B5EF4-FFF2-40B4-BE49-F238E27FC236}">
                      <a16:creationId xmlns:a16="http://schemas.microsoft.com/office/drawing/2014/main" id="{00000000-0008-0000-0900-00005E010000}"/>
                    </a:ext>
                  </a:extLst>
                </xdr:cNvPr>
                <xdr:cNvSpPr/>
              </xdr:nvSpPr>
              <xdr:spPr>
                <a:xfrm>
                  <a:off x="1058227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1" name="Ellipse 350">
                  <a:extLst>
                    <a:ext uri="{FF2B5EF4-FFF2-40B4-BE49-F238E27FC236}">
                      <a16:creationId xmlns:a16="http://schemas.microsoft.com/office/drawing/2014/main" id="{00000000-0008-0000-0900-00005F010000}"/>
                    </a:ext>
                  </a:extLst>
                </xdr:cNvPr>
                <xdr:cNvSpPr/>
              </xdr:nvSpPr>
              <xdr:spPr>
                <a:xfrm>
                  <a:off x="116776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2" name="Ellipse 351">
                  <a:extLst>
                    <a:ext uri="{FF2B5EF4-FFF2-40B4-BE49-F238E27FC236}">
                      <a16:creationId xmlns:a16="http://schemas.microsoft.com/office/drawing/2014/main" id="{00000000-0008-0000-0900-000060010000}"/>
                    </a:ext>
                  </a:extLst>
                </xdr:cNvPr>
                <xdr:cNvSpPr/>
              </xdr:nvSpPr>
              <xdr:spPr>
                <a:xfrm>
                  <a:off x="1094422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3" name="Ellipse 352">
                  <a:extLst>
                    <a:ext uri="{FF2B5EF4-FFF2-40B4-BE49-F238E27FC236}">
                      <a16:creationId xmlns:a16="http://schemas.microsoft.com/office/drawing/2014/main" id="{00000000-0008-0000-0900-000061010000}"/>
                    </a:ext>
                  </a:extLst>
                </xdr:cNvPr>
                <xdr:cNvSpPr/>
              </xdr:nvSpPr>
              <xdr:spPr>
                <a:xfrm>
                  <a:off x="1132522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4" name="Ellipse 353">
                  <a:extLst>
                    <a:ext uri="{FF2B5EF4-FFF2-40B4-BE49-F238E27FC236}">
                      <a16:creationId xmlns:a16="http://schemas.microsoft.com/office/drawing/2014/main" id="{00000000-0008-0000-0900-000062010000}"/>
                    </a:ext>
                  </a:extLst>
                </xdr:cNvPr>
                <xdr:cNvSpPr/>
              </xdr:nvSpPr>
              <xdr:spPr>
                <a:xfrm>
                  <a:off x="1059180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5" name="Ellipse 354">
                  <a:extLst>
                    <a:ext uri="{FF2B5EF4-FFF2-40B4-BE49-F238E27FC236}">
                      <a16:creationId xmlns:a16="http://schemas.microsoft.com/office/drawing/2014/main" id="{00000000-0008-0000-0900-000063010000}"/>
                    </a:ext>
                  </a:extLst>
                </xdr:cNvPr>
                <xdr:cNvSpPr/>
              </xdr:nvSpPr>
              <xdr:spPr>
                <a:xfrm>
                  <a:off x="1168284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6" name="Ellipse 355">
                  <a:extLst>
                    <a:ext uri="{FF2B5EF4-FFF2-40B4-BE49-F238E27FC236}">
                      <a16:creationId xmlns:a16="http://schemas.microsoft.com/office/drawing/2014/main" id="{00000000-0008-0000-0900-000064010000}"/>
                    </a:ext>
                  </a:extLst>
                </xdr:cNvPr>
                <xdr:cNvSpPr/>
              </xdr:nvSpPr>
              <xdr:spPr>
                <a:xfrm>
                  <a:off x="1094942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7" name="Ellipse 356">
                  <a:extLst>
                    <a:ext uri="{FF2B5EF4-FFF2-40B4-BE49-F238E27FC236}">
                      <a16:creationId xmlns:a16="http://schemas.microsoft.com/office/drawing/2014/main" id="{00000000-0008-0000-0900-000065010000}"/>
                    </a:ext>
                  </a:extLst>
                </xdr:cNvPr>
                <xdr:cNvSpPr/>
              </xdr:nvSpPr>
              <xdr:spPr>
                <a:xfrm>
                  <a:off x="911781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8" name="Ellipse 357">
                  <a:extLst>
                    <a:ext uri="{FF2B5EF4-FFF2-40B4-BE49-F238E27FC236}">
                      <a16:creationId xmlns:a16="http://schemas.microsoft.com/office/drawing/2014/main" id="{00000000-0008-0000-0900-000066010000}"/>
                    </a:ext>
                  </a:extLst>
                </xdr:cNvPr>
                <xdr:cNvSpPr/>
              </xdr:nvSpPr>
              <xdr:spPr>
                <a:xfrm>
                  <a:off x="985123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9" name="Ellipse 358">
                  <a:extLst>
                    <a:ext uri="{FF2B5EF4-FFF2-40B4-BE49-F238E27FC236}">
                      <a16:creationId xmlns:a16="http://schemas.microsoft.com/office/drawing/2014/main" id="{00000000-0008-0000-0900-000067010000}"/>
                    </a:ext>
                  </a:extLst>
                </xdr:cNvPr>
                <xdr:cNvSpPr/>
              </xdr:nvSpPr>
              <xdr:spPr>
                <a:xfrm>
                  <a:off x="1131808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0" name="Ellipse 359">
                  <a:extLst>
                    <a:ext uri="{FF2B5EF4-FFF2-40B4-BE49-F238E27FC236}">
                      <a16:creationId xmlns:a16="http://schemas.microsoft.com/office/drawing/2014/main" id="{00000000-0008-0000-0900-000068010000}"/>
                    </a:ext>
                  </a:extLst>
                </xdr:cNvPr>
                <xdr:cNvSpPr/>
              </xdr:nvSpPr>
              <xdr:spPr>
                <a:xfrm>
                  <a:off x="1058466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xnSp macro="">
            <xdr:nvCxnSpPr>
              <xdr:cNvPr id="330" name="Connecteur droit 329">
                <a:extLst>
                  <a:ext uri="{FF2B5EF4-FFF2-40B4-BE49-F238E27FC236}">
                    <a16:creationId xmlns:a16="http://schemas.microsoft.com/office/drawing/2014/main" id="{00000000-0008-0000-0900-00004A010000}"/>
                  </a:ext>
                </a:extLst>
              </xdr:cNvPr>
              <xdr:cNvCxnSpPr/>
            </xdr:nvCxnSpPr>
            <xdr:spPr>
              <a:xfrm flipV="1">
                <a:off x="12915254" y="5475119"/>
                <a:ext cx="1800000" cy="0"/>
              </a:xfrm>
              <a:prstGeom prst="lin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cxnSp>
        </xdr:grpSp>
        <xdr:cxnSp macro="">
          <xdr:nvCxnSpPr>
            <xdr:cNvPr id="331" name="Connecteur droit 330">
              <a:extLst>
                <a:ext uri="{FF2B5EF4-FFF2-40B4-BE49-F238E27FC236}">
                  <a16:creationId xmlns:a16="http://schemas.microsoft.com/office/drawing/2014/main" id="{00000000-0008-0000-0900-00004B010000}"/>
                </a:ext>
              </a:extLst>
            </xdr:cNvPr>
            <xdr:cNvCxnSpPr/>
          </xdr:nvCxnSpPr>
          <xdr:spPr>
            <a:xfrm>
              <a:off x="14171012" y="5306390"/>
              <a:ext cx="0" cy="36000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332" name="Connecteur droit 331">
              <a:extLst>
                <a:ext uri="{FF2B5EF4-FFF2-40B4-BE49-F238E27FC236}">
                  <a16:creationId xmlns:a16="http://schemas.microsoft.com/office/drawing/2014/main" id="{00000000-0008-0000-0900-00004C010000}"/>
                </a:ext>
              </a:extLst>
            </xdr:cNvPr>
            <xdr:cNvCxnSpPr/>
          </xdr:nvCxnSpPr>
          <xdr:spPr>
            <a:xfrm>
              <a:off x="14609181" y="5306390"/>
              <a:ext cx="0" cy="36000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333" name="Connecteur droit avec flèche 332">
              <a:extLst>
                <a:ext uri="{FF2B5EF4-FFF2-40B4-BE49-F238E27FC236}">
                  <a16:creationId xmlns:a16="http://schemas.microsoft.com/office/drawing/2014/main" id="{00000000-0008-0000-0900-00004D010000}"/>
                </a:ext>
              </a:extLst>
            </xdr:cNvPr>
            <xdr:cNvCxnSpPr/>
          </xdr:nvCxnSpPr>
          <xdr:spPr>
            <a:xfrm flipV="1">
              <a:off x="14171479" y="5656173"/>
              <a:ext cx="439200" cy="0"/>
            </a:xfrm>
            <a:prstGeom prst="straightConnector1">
              <a:avLst/>
            </a:prstGeom>
            <a:ln w="12700">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cxnSp macro="">
          <xdr:nvCxnSpPr>
            <xdr:cNvPr id="459" name="Connecteur droit 458">
              <a:extLst>
                <a:ext uri="{FF2B5EF4-FFF2-40B4-BE49-F238E27FC236}">
                  <a16:creationId xmlns:a16="http://schemas.microsoft.com/office/drawing/2014/main" id="{00000000-0008-0000-0900-0000CB010000}"/>
                </a:ext>
              </a:extLst>
            </xdr:cNvPr>
            <xdr:cNvCxnSpPr/>
          </xdr:nvCxnSpPr>
          <xdr:spPr>
            <a:xfrm flipH="1">
              <a:off x="13295435" y="5524500"/>
              <a:ext cx="175845" cy="79131"/>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462" name="Connecteur droit 461">
              <a:extLst>
                <a:ext uri="{FF2B5EF4-FFF2-40B4-BE49-F238E27FC236}">
                  <a16:creationId xmlns:a16="http://schemas.microsoft.com/office/drawing/2014/main" id="{00000000-0008-0000-0900-0000CE010000}"/>
                </a:ext>
              </a:extLst>
            </xdr:cNvPr>
            <xdr:cNvCxnSpPr/>
          </xdr:nvCxnSpPr>
          <xdr:spPr>
            <a:xfrm>
              <a:off x="13295434" y="5597772"/>
              <a:ext cx="0" cy="7200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464" name="Connecteur droit 463">
              <a:extLst>
                <a:ext uri="{FF2B5EF4-FFF2-40B4-BE49-F238E27FC236}">
                  <a16:creationId xmlns:a16="http://schemas.microsoft.com/office/drawing/2014/main" id="{00000000-0008-0000-0900-0000D0010000}"/>
                </a:ext>
              </a:extLst>
            </xdr:cNvPr>
            <xdr:cNvCxnSpPr/>
          </xdr:nvCxnSpPr>
          <xdr:spPr>
            <a:xfrm>
              <a:off x="13600234" y="5524500"/>
              <a:ext cx="158262" cy="70338"/>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466" name="Connecteur droit 465">
              <a:extLst>
                <a:ext uri="{FF2B5EF4-FFF2-40B4-BE49-F238E27FC236}">
                  <a16:creationId xmlns:a16="http://schemas.microsoft.com/office/drawing/2014/main" id="{00000000-0008-0000-0900-0000D2010000}"/>
                </a:ext>
              </a:extLst>
            </xdr:cNvPr>
            <xdr:cNvCxnSpPr/>
          </xdr:nvCxnSpPr>
          <xdr:spPr>
            <a:xfrm>
              <a:off x="13758495" y="5594839"/>
              <a:ext cx="0" cy="72000"/>
            </a:xfrm>
            <a:prstGeom prst="line">
              <a:avLst/>
            </a:prstGeom>
            <a:ln w="12700"/>
          </xdr:spPr>
          <xdr:style>
            <a:lnRef idx="1">
              <a:schemeClr val="accent1"/>
            </a:lnRef>
            <a:fillRef idx="0">
              <a:schemeClr val="accent1"/>
            </a:fillRef>
            <a:effectRef idx="0">
              <a:schemeClr val="accent1"/>
            </a:effectRef>
            <a:fontRef idx="minor">
              <a:schemeClr val="tx1"/>
            </a:fontRef>
          </xdr:style>
        </xdr:cxnSp>
      </xdr:grpSp>
      <xdr:sp macro="" textlink="">
        <xdr:nvSpPr>
          <xdr:cNvPr id="618" name="ZoneTexte 617">
            <a:extLst>
              <a:ext uri="{FF2B5EF4-FFF2-40B4-BE49-F238E27FC236}">
                <a16:creationId xmlns:a16="http://schemas.microsoft.com/office/drawing/2014/main" id="{00000000-0008-0000-0900-00006A020000}"/>
              </a:ext>
            </a:extLst>
          </xdr:cNvPr>
          <xdr:cNvSpPr txBox="1"/>
        </xdr:nvSpPr>
        <xdr:spPr>
          <a:xfrm>
            <a:off x="13363575" y="5629275"/>
            <a:ext cx="3429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S</a:t>
            </a:r>
          </a:p>
        </xdr:txBody>
      </xdr:sp>
      <xdr:sp macro="" textlink="">
        <xdr:nvSpPr>
          <xdr:cNvPr id="840" name="ZoneTexte 839">
            <a:extLst>
              <a:ext uri="{FF2B5EF4-FFF2-40B4-BE49-F238E27FC236}">
                <a16:creationId xmlns:a16="http://schemas.microsoft.com/office/drawing/2014/main" id="{00000000-0008-0000-0900-000048030000}"/>
              </a:ext>
            </a:extLst>
          </xdr:cNvPr>
          <xdr:cNvSpPr txBox="1"/>
        </xdr:nvSpPr>
        <xdr:spPr>
          <a:xfrm>
            <a:off x="14220825" y="5629275"/>
            <a:ext cx="3429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W</a:t>
            </a:r>
          </a:p>
        </xdr:txBody>
      </xdr:sp>
    </xdr:grpSp>
    <xdr:clientData/>
  </xdr:twoCellAnchor>
  <xdr:twoCellAnchor editAs="oneCell">
    <xdr:from>
      <xdr:col>4</xdr:col>
      <xdr:colOff>85726</xdr:colOff>
      <xdr:row>2</xdr:row>
      <xdr:rowOff>19051</xdr:rowOff>
    </xdr:from>
    <xdr:to>
      <xdr:col>7</xdr:col>
      <xdr:colOff>1409700</xdr:colOff>
      <xdr:row>10</xdr:row>
      <xdr:rowOff>92367</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3543301" y="400051"/>
          <a:ext cx="3867149" cy="1590966"/>
        </a:xfrm>
        <a:prstGeom prst="rect">
          <a:avLst/>
        </a:prstGeom>
      </xdr:spPr>
    </xdr:pic>
    <xdr:clientData/>
  </xdr:twoCellAnchor>
  <xdr:twoCellAnchor editAs="oneCell">
    <xdr:from>
      <xdr:col>12</xdr:col>
      <xdr:colOff>614100</xdr:colOff>
      <xdr:row>3</xdr:row>
      <xdr:rowOff>9526</xdr:rowOff>
    </xdr:from>
    <xdr:to>
      <xdr:col>13</xdr:col>
      <xdr:colOff>605583</xdr:colOff>
      <xdr:row>6</xdr:row>
      <xdr:rowOff>73026</xdr:rowOff>
    </xdr:to>
    <xdr:pic>
      <xdr:nvPicPr>
        <xdr:cNvPr id="4" name="Imag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11186850" y="581026"/>
          <a:ext cx="966208" cy="628650"/>
        </a:xfrm>
        <a:prstGeom prst="rect">
          <a:avLst/>
        </a:prstGeom>
      </xdr:spPr>
    </xdr:pic>
    <xdr:clientData/>
  </xdr:twoCellAnchor>
  <xdr:twoCellAnchor editAs="oneCell">
    <xdr:from>
      <xdr:col>1</xdr:col>
      <xdr:colOff>0</xdr:colOff>
      <xdr:row>0</xdr:row>
      <xdr:rowOff>0</xdr:rowOff>
    </xdr:from>
    <xdr:to>
      <xdr:col>4</xdr:col>
      <xdr:colOff>347890</xdr:colOff>
      <xdr:row>0</xdr:row>
      <xdr:rowOff>921404</xdr:rowOff>
    </xdr:to>
    <xdr:pic>
      <xdr:nvPicPr>
        <xdr:cNvPr id="9" name="Picture 9" descr="schneider_LIO_Life-Green_RGB.png">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5" cstate="print"/>
        <a:stretch>
          <a:fillRect/>
        </a:stretch>
      </xdr:blipFill>
      <xdr:spPr>
        <a:xfrm>
          <a:off x="447675" y="0"/>
          <a:ext cx="3357790" cy="921404"/>
        </a:xfrm>
        <a:prstGeom prst="rect">
          <a:avLst/>
        </a:prstGeom>
        <a:solidFill>
          <a:schemeClr val="bg1"/>
        </a:solidFill>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1</xdr:col>
      <xdr:colOff>366393</xdr:colOff>
      <xdr:row>6</xdr:row>
      <xdr:rowOff>23439</xdr:rowOff>
    </xdr:from>
    <xdr:to>
      <xdr:col>2</xdr:col>
      <xdr:colOff>72393</xdr:colOff>
      <xdr:row>7</xdr:row>
      <xdr:rowOff>184349</xdr:rowOff>
    </xdr:to>
    <xdr:grpSp>
      <xdr:nvGrpSpPr>
        <xdr:cNvPr id="6" name="Groupe 5">
          <a:extLst>
            <a:ext uri="{FF2B5EF4-FFF2-40B4-BE49-F238E27FC236}">
              <a16:creationId xmlns:a16="http://schemas.microsoft.com/office/drawing/2014/main" id="{00000000-0008-0000-0B00-000006000000}"/>
            </a:ext>
          </a:extLst>
        </xdr:cNvPr>
        <xdr:cNvGrpSpPr/>
      </xdr:nvGrpSpPr>
      <xdr:grpSpPr>
        <a:xfrm>
          <a:off x="1128393" y="1166439"/>
          <a:ext cx="468000" cy="351410"/>
          <a:chOff x="3927145" y="22139067"/>
          <a:chExt cx="4680004" cy="3497790"/>
        </a:xfrm>
      </xdr:grpSpPr>
      <xdr:cxnSp macro="">
        <xdr:nvCxnSpPr>
          <xdr:cNvPr id="143" name="Connecteur droit 142">
            <a:extLst>
              <a:ext uri="{FF2B5EF4-FFF2-40B4-BE49-F238E27FC236}">
                <a16:creationId xmlns:a16="http://schemas.microsoft.com/office/drawing/2014/main" id="{00000000-0008-0000-0B00-00008F000000}"/>
              </a:ext>
            </a:extLst>
          </xdr:cNvPr>
          <xdr:cNvCxnSpPr/>
        </xdr:nvCxnSpPr>
        <xdr:spPr>
          <a:xfrm>
            <a:off x="5710337" y="22139067"/>
            <a:ext cx="0" cy="216000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144" name="Connecteur droit 143">
            <a:extLst>
              <a:ext uri="{FF2B5EF4-FFF2-40B4-BE49-F238E27FC236}">
                <a16:creationId xmlns:a16="http://schemas.microsoft.com/office/drawing/2014/main" id="{00000000-0008-0000-0B00-000090000000}"/>
              </a:ext>
            </a:extLst>
          </xdr:cNvPr>
          <xdr:cNvCxnSpPr/>
        </xdr:nvCxnSpPr>
        <xdr:spPr>
          <a:xfrm>
            <a:off x="7010398" y="22139067"/>
            <a:ext cx="0" cy="2160000"/>
          </a:xfrm>
          <a:prstGeom prst="line">
            <a:avLst/>
          </a:prstGeom>
          <a:ln w="12700"/>
        </xdr:spPr>
        <xdr:style>
          <a:lnRef idx="1">
            <a:schemeClr val="accent1"/>
          </a:lnRef>
          <a:fillRef idx="0">
            <a:schemeClr val="accent1"/>
          </a:fillRef>
          <a:effectRef idx="0">
            <a:schemeClr val="accent1"/>
          </a:effectRef>
          <a:fontRef idx="minor">
            <a:schemeClr val="tx1"/>
          </a:fontRef>
        </xdr:style>
      </xdr:cxnSp>
      <xdr:cxnSp macro="">
        <xdr:nvCxnSpPr>
          <xdr:cNvPr id="145" name="Connecteur droit avec flèche 144">
            <a:extLst>
              <a:ext uri="{FF2B5EF4-FFF2-40B4-BE49-F238E27FC236}">
                <a16:creationId xmlns:a16="http://schemas.microsoft.com/office/drawing/2014/main" id="{00000000-0008-0000-0B00-000091000000}"/>
              </a:ext>
            </a:extLst>
          </xdr:cNvPr>
          <xdr:cNvCxnSpPr/>
        </xdr:nvCxnSpPr>
        <xdr:spPr>
          <a:xfrm flipV="1">
            <a:off x="3927145" y="25636857"/>
            <a:ext cx="4680004" cy="0"/>
          </a:xfrm>
          <a:prstGeom prst="straightConnector1">
            <a:avLst/>
          </a:prstGeom>
          <a:ln w="12700">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757598</xdr:colOff>
      <xdr:row>2</xdr:row>
      <xdr:rowOff>47625</xdr:rowOff>
    </xdr:from>
    <xdr:to>
      <xdr:col>0</xdr:col>
      <xdr:colOff>757598</xdr:colOff>
      <xdr:row>6</xdr:row>
      <xdr:rowOff>189821</xdr:rowOff>
    </xdr:to>
    <xdr:cxnSp macro="">
      <xdr:nvCxnSpPr>
        <xdr:cNvPr id="7" name="Connecteur droit 6">
          <a:extLst>
            <a:ext uri="{FF2B5EF4-FFF2-40B4-BE49-F238E27FC236}">
              <a16:creationId xmlns:a16="http://schemas.microsoft.com/office/drawing/2014/main" id="{00000000-0008-0000-0B00-000007000000}"/>
            </a:ext>
          </a:extLst>
        </xdr:cNvPr>
        <xdr:cNvCxnSpPr/>
      </xdr:nvCxnSpPr>
      <xdr:spPr>
        <a:xfrm>
          <a:off x="757598" y="428625"/>
          <a:ext cx="0" cy="904196"/>
        </a:xfrm>
        <a:prstGeom prst="lin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editAs="absolute">
    <xdr:from>
      <xdr:col>3</xdr:col>
      <xdr:colOff>261369</xdr:colOff>
      <xdr:row>2</xdr:row>
      <xdr:rowOff>47625</xdr:rowOff>
    </xdr:from>
    <xdr:to>
      <xdr:col>3</xdr:col>
      <xdr:colOff>261369</xdr:colOff>
      <xdr:row>6</xdr:row>
      <xdr:rowOff>189821</xdr:rowOff>
    </xdr:to>
    <xdr:cxnSp macro="">
      <xdr:nvCxnSpPr>
        <xdr:cNvPr id="8" name="Connecteur droit 7">
          <a:extLst>
            <a:ext uri="{FF2B5EF4-FFF2-40B4-BE49-F238E27FC236}">
              <a16:creationId xmlns:a16="http://schemas.microsoft.com/office/drawing/2014/main" id="{00000000-0008-0000-0B00-000008000000}"/>
            </a:ext>
          </a:extLst>
        </xdr:cNvPr>
        <xdr:cNvCxnSpPr/>
      </xdr:nvCxnSpPr>
      <xdr:spPr>
        <a:xfrm flipH="1">
          <a:off x="2547369" y="428625"/>
          <a:ext cx="0" cy="904196"/>
        </a:xfrm>
        <a:prstGeom prst="lin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editAs="absolute">
    <xdr:from>
      <xdr:col>1</xdr:col>
      <xdr:colOff>106257</xdr:colOff>
      <xdr:row>5</xdr:row>
      <xdr:rowOff>53260</xdr:rowOff>
    </xdr:from>
    <xdr:to>
      <xdr:col>1</xdr:col>
      <xdr:colOff>544537</xdr:colOff>
      <xdr:row>6</xdr:row>
      <xdr:rowOff>187010</xdr:rowOff>
    </xdr:to>
    <xdr:grpSp>
      <xdr:nvGrpSpPr>
        <xdr:cNvPr id="17" name="Groupe 16">
          <a:extLst>
            <a:ext uri="{FF2B5EF4-FFF2-40B4-BE49-F238E27FC236}">
              <a16:creationId xmlns:a16="http://schemas.microsoft.com/office/drawing/2014/main" id="{00000000-0008-0000-0B00-000011000000}"/>
            </a:ext>
          </a:extLst>
        </xdr:cNvPr>
        <xdr:cNvGrpSpPr/>
      </xdr:nvGrpSpPr>
      <xdr:grpSpPr>
        <a:xfrm>
          <a:off x="868257" y="1005760"/>
          <a:ext cx="438280" cy="324250"/>
          <a:chOff x="8382000" y="1143000"/>
          <a:chExt cx="4382795" cy="3227450"/>
        </a:xfrm>
      </xdr:grpSpPr>
      <xdr:sp macro="" textlink="">
        <xdr:nvSpPr>
          <xdr:cNvPr id="119" name="Ellipse 118">
            <a:extLst>
              <a:ext uri="{FF2B5EF4-FFF2-40B4-BE49-F238E27FC236}">
                <a16:creationId xmlns:a16="http://schemas.microsoft.com/office/drawing/2014/main" id="{00000000-0008-0000-0B00-000077000000}"/>
              </a:ext>
            </a:extLst>
          </xdr:cNvPr>
          <xdr:cNvSpPr/>
        </xdr:nvSpPr>
        <xdr:spPr>
          <a:xfrm>
            <a:off x="911542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20" name="Ellipse 119">
            <a:extLst>
              <a:ext uri="{FF2B5EF4-FFF2-40B4-BE49-F238E27FC236}">
                <a16:creationId xmlns:a16="http://schemas.microsoft.com/office/drawing/2014/main" id="{00000000-0008-0000-0B00-000078000000}"/>
              </a:ext>
            </a:extLst>
          </xdr:cNvPr>
          <xdr:cNvSpPr/>
        </xdr:nvSpPr>
        <xdr:spPr>
          <a:xfrm>
            <a:off x="984885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21" name="Ellipse 120">
            <a:extLst>
              <a:ext uri="{FF2B5EF4-FFF2-40B4-BE49-F238E27FC236}">
                <a16:creationId xmlns:a16="http://schemas.microsoft.com/office/drawing/2014/main" id="{00000000-0008-0000-0B00-000079000000}"/>
              </a:ext>
            </a:extLst>
          </xdr:cNvPr>
          <xdr:cNvSpPr/>
        </xdr:nvSpPr>
        <xdr:spPr>
          <a:xfrm>
            <a:off x="838200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22" name="Ellipse 121">
            <a:extLst>
              <a:ext uri="{FF2B5EF4-FFF2-40B4-BE49-F238E27FC236}">
                <a16:creationId xmlns:a16="http://schemas.microsoft.com/office/drawing/2014/main" id="{00000000-0008-0000-0B00-00007A000000}"/>
              </a:ext>
            </a:extLst>
          </xdr:cNvPr>
          <xdr:cNvSpPr/>
        </xdr:nvSpPr>
        <xdr:spPr>
          <a:xfrm>
            <a:off x="947737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23" name="Ellipse 122">
            <a:extLst>
              <a:ext uri="{FF2B5EF4-FFF2-40B4-BE49-F238E27FC236}">
                <a16:creationId xmlns:a16="http://schemas.microsoft.com/office/drawing/2014/main" id="{00000000-0008-0000-0B00-00007B000000}"/>
              </a:ext>
            </a:extLst>
          </xdr:cNvPr>
          <xdr:cNvSpPr/>
        </xdr:nvSpPr>
        <xdr:spPr>
          <a:xfrm>
            <a:off x="1021080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24" name="Ellipse 123">
            <a:extLst>
              <a:ext uri="{FF2B5EF4-FFF2-40B4-BE49-F238E27FC236}">
                <a16:creationId xmlns:a16="http://schemas.microsoft.com/office/drawing/2014/main" id="{00000000-0008-0000-0B00-00007C000000}"/>
              </a:ext>
            </a:extLst>
          </xdr:cNvPr>
          <xdr:cNvSpPr/>
        </xdr:nvSpPr>
        <xdr:spPr>
          <a:xfrm>
            <a:off x="87439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25" name="Ellipse 124">
            <a:extLst>
              <a:ext uri="{FF2B5EF4-FFF2-40B4-BE49-F238E27FC236}">
                <a16:creationId xmlns:a16="http://schemas.microsoft.com/office/drawing/2014/main" id="{00000000-0008-0000-0B00-00007D000000}"/>
              </a:ext>
            </a:extLst>
          </xdr:cNvPr>
          <xdr:cNvSpPr/>
        </xdr:nvSpPr>
        <xdr:spPr>
          <a:xfrm>
            <a:off x="912495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26" name="Ellipse 125">
            <a:extLst>
              <a:ext uri="{FF2B5EF4-FFF2-40B4-BE49-F238E27FC236}">
                <a16:creationId xmlns:a16="http://schemas.microsoft.com/office/drawing/2014/main" id="{00000000-0008-0000-0B00-00007E000000}"/>
              </a:ext>
            </a:extLst>
          </xdr:cNvPr>
          <xdr:cNvSpPr/>
        </xdr:nvSpPr>
        <xdr:spPr>
          <a:xfrm>
            <a:off x="985837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27" name="Ellipse 126">
            <a:extLst>
              <a:ext uri="{FF2B5EF4-FFF2-40B4-BE49-F238E27FC236}">
                <a16:creationId xmlns:a16="http://schemas.microsoft.com/office/drawing/2014/main" id="{00000000-0008-0000-0B00-00007F000000}"/>
              </a:ext>
            </a:extLst>
          </xdr:cNvPr>
          <xdr:cNvSpPr/>
        </xdr:nvSpPr>
        <xdr:spPr>
          <a:xfrm>
            <a:off x="948690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28" name="Ellipse 127">
            <a:extLst>
              <a:ext uri="{FF2B5EF4-FFF2-40B4-BE49-F238E27FC236}">
                <a16:creationId xmlns:a16="http://schemas.microsoft.com/office/drawing/2014/main" id="{00000000-0008-0000-0B00-000080000000}"/>
              </a:ext>
            </a:extLst>
          </xdr:cNvPr>
          <xdr:cNvSpPr/>
        </xdr:nvSpPr>
        <xdr:spPr>
          <a:xfrm>
            <a:off x="1021599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29" name="Ellipse 128">
            <a:extLst>
              <a:ext uri="{FF2B5EF4-FFF2-40B4-BE49-F238E27FC236}">
                <a16:creationId xmlns:a16="http://schemas.microsoft.com/office/drawing/2014/main" id="{00000000-0008-0000-0B00-000081000000}"/>
              </a:ext>
            </a:extLst>
          </xdr:cNvPr>
          <xdr:cNvSpPr/>
        </xdr:nvSpPr>
        <xdr:spPr>
          <a:xfrm>
            <a:off x="875347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30" name="Ellipse 129">
            <a:extLst>
              <a:ext uri="{FF2B5EF4-FFF2-40B4-BE49-F238E27FC236}">
                <a16:creationId xmlns:a16="http://schemas.microsoft.com/office/drawing/2014/main" id="{00000000-0008-0000-0B00-000082000000}"/>
              </a:ext>
            </a:extLst>
          </xdr:cNvPr>
          <xdr:cNvSpPr/>
        </xdr:nvSpPr>
        <xdr:spPr>
          <a:xfrm>
            <a:off x="1131137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31" name="Ellipse 130">
            <a:extLst>
              <a:ext uri="{FF2B5EF4-FFF2-40B4-BE49-F238E27FC236}">
                <a16:creationId xmlns:a16="http://schemas.microsoft.com/office/drawing/2014/main" id="{00000000-0008-0000-0B00-000083000000}"/>
              </a:ext>
            </a:extLst>
          </xdr:cNvPr>
          <xdr:cNvSpPr/>
        </xdr:nvSpPr>
        <xdr:spPr>
          <a:xfrm>
            <a:off x="1204479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32" name="Ellipse 131">
            <a:extLst>
              <a:ext uri="{FF2B5EF4-FFF2-40B4-BE49-F238E27FC236}">
                <a16:creationId xmlns:a16="http://schemas.microsoft.com/office/drawing/2014/main" id="{00000000-0008-0000-0B00-000084000000}"/>
              </a:ext>
            </a:extLst>
          </xdr:cNvPr>
          <xdr:cNvSpPr/>
        </xdr:nvSpPr>
        <xdr:spPr>
          <a:xfrm>
            <a:off x="1058227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33" name="Ellipse 132">
            <a:extLst>
              <a:ext uri="{FF2B5EF4-FFF2-40B4-BE49-F238E27FC236}">
                <a16:creationId xmlns:a16="http://schemas.microsoft.com/office/drawing/2014/main" id="{00000000-0008-0000-0B00-000085000000}"/>
              </a:ext>
            </a:extLst>
          </xdr:cNvPr>
          <xdr:cNvSpPr/>
        </xdr:nvSpPr>
        <xdr:spPr>
          <a:xfrm>
            <a:off x="116776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34" name="Ellipse 133">
            <a:extLst>
              <a:ext uri="{FF2B5EF4-FFF2-40B4-BE49-F238E27FC236}">
                <a16:creationId xmlns:a16="http://schemas.microsoft.com/office/drawing/2014/main" id="{00000000-0008-0000-0B00-000086000000}"/>
              </a:ext>
            </a:extLst>
          </xdr:cNvPr>
          <xdr:cNvSpPr/>
        </xdr:nvSpPr>
        <xdr:spPr>
          <a:xfrm>
            <a:off x="1094422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35" name="Ellipse 134">
            <a:extLst>
              <a:ext uri="{FF2B5EF4-FFF2-40B4-BE49-F238E27FC236}">
                <a16:creationId xmlns:a16="http://schemas.microsoft.com/office/drawing/2014/main" id="{00000000-0008-0000-0B00-000087000000}"/>
              </a:ext>
            </a:extLst>
          </xdr:cNvPr>
          <xdr:cNvSpPr/>
        </xdr:nvSpPr>
        <xdr:spPr>
          <a:xfrm>
            <a:off x="1132522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36" name="Ellipse 135">
            <a:extLst>
              <a:ext uri="{FF2B5EF4-FFF2-40B4-BE49-F238E27FC236}">
                <a16:creationId xmlns:a16="http://schemas.microsoft.com/office/drawing/2014/main" id="{00000000-0008-0000-0B00-000088000000}"/>
              </a:ext>
            </a:extLst>
          </xdr:cNvPr>
          <xdr:cNvSpPr/>
        </xdr:nvSpPr>
        <xdr:spPr>
          <a:xfrm>
            <a:off x="1059180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37" name="Ellipse 136">
            <a:extLst>
              <a:ext uri="{FF2B5EF4-FFF2-40B4-BE49-F238E27FC236}">
                <a16:creationId xmlns:a16="http://schemas.microsoft.com/office/drawing/2014/main" id="{00000000-0008-0000-0B00-000089000000}"/>
              </a:ext>
            </a:extLst>
          </xdr:cNvPr>
          <xdr:cNvSpPr/>
        </xdr:nvSpPr>
        <xdr:spPr>
          <a:xfrm>
            <a:off x="1168284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38" name="Ellipse 137">
            <a:extLst>
              <a:ext uri="{FF2B5EF4-FFF2-40B4-BE49-F238E27FC236}">
                <a16:creationId xmlns:a16="http://schemas.microsoft.com/office/drawing/2014/main" id="{00000000-0008-0000-0B00-00008A000000}"/>
              </a:ext>
            </a:extLst>
          </xdr:cNvPr>
          <xdr:cNvSpPr/>
        </xdr:nvSpPr>
        <xdr:spPr>
          <a:xfrm>
            <a:off x="1094942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39" name="Ellipse 138">
            <a:extLst>
              <a:ext uri="{FF2B5EF4-FFF2-40B4-BE49-F238E27FC236}">
                <a16:creationId xmlns:a16="http://schemas.microsoft.com/office/drawing/2014/main" id="{00000000-0008-0000-0B00-00008B000000}"/>
              </a:ext>
            </a:extLst>
          </xdr:cNvPr>
          <xdr:cNvSpPr/>
        </xdr:nvSpPr>
        <xdr:spPr>
          <a:xfrm>
            <a:off x="911781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40" name="Ellipse 139">
            <a:extLst>
              <a:ext uri="{FF2B5EF4-FFF2-40B4-BE49-F238E27FC236}">
                <a16:creationId xmlns:a16="http://schemas.microsoft.com/office/drawing/2014/main" id="{00000000-0008-0000-0B00-00008C000000}"/>
              </a:ext>
            </a:extLst>
          </xdr:cNvPr>
          <xdr:cNvSpPr/>
        </xdr:nvSpPr>
        <xdr:spPr>
          <a:xfrm>
            <a:off x="985123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41" name="Ellipse 140">
            <a:extLst>
              <a:ext uri="{FF2B5EF4-FFF2-40B4-BE49-F238E27FC236}">
                <a16:creationId xmlns:a16="http://schemas.microsoft.com/office/drawing/2014/main" id="{00000000-0008-0000-0B00-00008D000000}"/>
              </a:ext>
            </a:extLst>
          </xdr:cNvPr>
          <xdr:cNvSpPr/>
        </xdr:nvSpPr>
        <xdr:spPr>
          <a:xfrm>
            <a:off x="1131808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42" name="Ellipse 141">
            <a:extLst>
              <a:ext uri="{FF2B5EF4-FFF2-40B4-BE49-F238E27FC236}">
                <a16:creationId xmlns:a16="http://schemas.microsoft.com/office/drawing/2014/main" id="{00000000-0008-0000-0B00-00008E000000}"/>
              </a:ext>
            </a:extLst>
          </xdr:cNvPr>
          <xdr:cNvSpPr/>
        </xdr:nvSpPr>
        <xdr:spPr>
          <a:xfrm>
            <a:off x="1058466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editAs="absolute">
    <xdr:from>
      <xdr:col>1</xdr:col>
      <xdr:colOff>106315</xdr:colOff>
      <xdr:row>3</xdr:row>
      <xdr:rowOff>109782</xdr:rowOff>
    </xdr:from>
    <xdr:to>
      <xdr:col>1</xdr:col>
      <xdr:colOff>544595</xdr:colOff>
      <xdr:row>5</xdr:row>
      <xdr:rowOff>53032</xdr:rowOff>
    </xdr:to>
    <xdr:grpSp>
      <xdr:nvGrpSpPr>
        <xdr:cNvPr id="18" name="Groupe 17">
          <a:extLst>
            <a:ext uri="{FF2B5EF4-FFF2-40B4-BE49-F238E27FC236}">
              <a16:creationId xmlns:a16="http://schemas.microsoft.com/office/drawing/2014/main" id="{00000000-0008-0000-0B00-000012000000}"/>
            </a:ext>
          </a:extLst>
        </xdr:cNvPr>
        <xdr:cNvGrpSpPr/>
      </xdr:nvGrpSpPr>
      <xdr:grpSpPr>
        <a:xfrm>
          <a:off x="868315" y="681282"/>
          <a:ext cx="438280" cy="324250"/>
          <a:chOff x="8382000" y="1143000"/>
          <a:chExt cx="4382795" cy="3227450"/>
        </a:xfrm>
      </xdr:grpSpPr>
      <xdr:sp macro="" textlink="">
        <xdr:nvSpPr>
          <xdr:cNvPr id="95" name="Ellipse 94">
            <a:extLst>
              <a:ext uri="{FF2B5EF4-FFF2-40B4-BE49-F238E27FC236}">
                <a16:creationId xmlns:a16="http://schemas.microsoft.com/office/drawing/2014/main" id="{00000000-0008-0000-0B00-00005F000000}"/>
              </a:ext>
            </a:extLst>
          </xdr:cNvPr>
          <xdr:cNvSpPr/>
        </xdr:nvSpPr>
        <xdr:spPr>
          <a:xfrm>
            <a:off x="911542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96" name="Ellipse 95">
            <a:extLst>
              <a:ext uri="{FF2B5EF4-FFF2-40B4-BE49-F238E27FC236}">
                <a16:creationId xmlns:a16="http://schemas.microsoft.com/office/drawing/2014/main" id="{00000000-0008-0000-0B00-000060000000}"/>
              </a:ext>
            </a:extLst>
          </xdr:cNvPr>
          <xdr:cNvSpPr/>
        </xdr:nvSpPr>
        <xdr:spPr>
          <a:xfrm>
            <a:off x="984885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97" name="Ellipse 96">
            <a:extLst>
              <a:ext uri="{FF2B5EF4-FFF2-40B4-BE49-F238E27FC236}">
                <a16:creationId xmlns:a16="http://schemas.microsoft.com/office/drawing/2014/main" id="{00000000-0008-0000-0B00-000061000000}"/>
              </a:ext>
            </a:extLst>
          </xdr:cNvPr>
          <xdr:cNvSpPr/>
        </xdr:nvSpPr>
        <xdr:spPr>
          <a:xfrm>
            <a:off x="838200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98" name="Ellipse 97">
            <a:extLst>
              <a:ext uri="{FF2B5EF4-FFF2-40B4-BE49-F238E27FC236}">
                <a16:creationId xmlns:a16="http://schemas.microsoft.com/office/drawing/2014/main" id="{00000000-0008-0000-0B00-000062000000}"/>
              </a:ext>
            </a:extLst>
          </xdr:cNvPr>
          <xdr:cNvSpPr/>
        </xdr:nvSpPr>
        <xdr:spPr>
          <a:xfrm>
            <a:off x="947737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99" name="Ellipse 98">
            <a:extLst>
              <a:ext uri="{FF2B5EF4-FFF2-40B4-BE49-F238E27FC236}">
                <a16:creationId xmlns:a16="http://schemas.microsoft.com/office/drawing/2014/main" id="{00000000-0008-0000-0B00-000063000000}"/>
              </a:ext>
            </a:extLst>
          </xdr:cNvPr>
          <xdr:cNvSpPr/>
        </xdr:nvSpPr>
        <xdr:spPr>
          <a:xfrm>
            <a:off x="1021080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00" name="Ellipse 99">
            <a:extLst>
              <a:ext uri="{FF2B5EF4-FFF2-40B4-BE49-F238E27FC236}">
                <a16:creationId xmlns:a16="http://schemas.microsoft.com/office/drawing/2014/main" id="{00000000-0008-0000-0B00-000064000000}"/>
              </a:ext>
            </a:extLst>
          </xdr:cNvPr>
          <xdr:cNvSpPr/>
        </xdr:nvSpPr>
        <xdr:spPr>
          <a:xfrm>
            <a:off x="87439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01" name="Ellipse 100">
            <a:extLst>
              <a:ext uri="{FF2B5EF4-FFF2-40B4-BE49-F238E27FC236}">
                <a16:creationId xmlns:a16="http://schemas.microsoft.com/office/drawing/2014/main" id="{00000000-0008-0000-0B00-000065000000}"/>
              </a:ext>
            </a:extLst>
          </xdr:cNvPr>
          <xdr:cNvSpPr/>
        </xdr:nvSpPr>
        <xdr:spPr>
          <a:xfrm>
            <a:off x="912495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02" name="Ellipse 101">
            <a:extLst>
              <a:ext uri="{FF2B5EF4-FFF2-40B4-BE49-F238E27FC236}">
                <a16:creationId xmlns:a16="http://schemas.microsoft.com/office/drawing/2014/main" id="{00000000-0008-0000-0B00-000066000000}"/>
              </a:ext>
            </a:extLst>
          </xdr:cNvPr>
          <xdr:cNvSpPr/>
        </xdr:nvSpPr>
        <xdr:spPr>
          <a:xfrm>
            <a:off x="985837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03" name="Ellipse 102">
            <a:extLst>
              <a:ext uri="{FF2B5EF4-FFF2-40B4-BE49-F238E27FC236}">
                <a16:creationId xmlns:a16="http://schemas.microsoft.com/office/drawing/2014/main" id="{00000000-0008-0000-0B00-000067000000}"/>
              </a:ext>
            </a:extLst>
          </xdr:cNvPr>
          <xdr:cNvSpPr/>
        </xdr:nvSpPr>
        <xdr:spPr>
          <a:xfrm>
            <a:off x="948690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04" name="Ellipse 103">
            <a:extLst>
              <a:ext uri="{FF2B5EF4-FFF2-40B4-BE49-F238E27FC236}">
                <a16:creationId xmlns:a16="http://schemas.microsoft.com/office/drawing/2014/main" id="{00000000-0008-0000-0B00-000068000000}"/>
              </a:ext>
            </a:extLst>
          </xdr:cNvPr>
          <xdr:cNvSpPr/>
        </xdr:nvSpPr>
        <xdr:spPr>
          <a:xfrm>
            <a:off x="1021599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05" name="Ellipse 104">
            <a:extLst>
              <a:ext uri="{FF2B5EF4-FFF2-40B4-BE49-F238E27FC236}">
                <a16:creationId xmlns:a16="http://schemas.microsoft.com/office/drawing/2014/main" id="{00000000-0008-0000-0B00-000069000000}"/>
              </a:ext>
            </a:extLst>
          </xdr:cNvPr>
          <xdr:cNvSpPr/>
        </xdr:nvSpPr>
        <xdr:spPr>
          <a:xfrm>
            <a:off x="875347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06" name="Ellipse 105">
            <a:extLst>
              <a:ext uri="{FF2B5EF4-FFF2-40B4-BE49-F238E27FC236}">
                <a16:creationId xmlns:a16="http://schemas.microsoft.com/office/drawing/2014/main" id="{00000000-0008-0000-0B00-00006A000000}"/>
              </a:ext>
            </a:extLst>
          </xdr:cNvPr>
          <xdr:cNvSpPr/>
        </xdr:nvSpPr>
        <xdr:spPr>
          <a:xfrm>
            <a:off x="1131137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07" name="Ellipse 106">
            <a:extLst>
              <a:ext uri="{FF2B5EF4-FFF2-40B4-BE49-F238E27FC236}">
                <a16:creationId xmlns:a16="http://schemas.microsoft.com/office/drawing/2014/main" id="{00000000-0008-0000-0B00-00006B000000}"/>
              </a:ext>
            </a:extLst>
          </xdr:cNvPr>
          <xdr:cNvSpPr/>
        </xdr:nvSpPr>
        <xdr:spPr>
          <a:xfrm>
            <a:off x="1204479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08" name="Ellipse 107">
            <a:extLst>
              <a:ext uri="{FF2B5EF4-FFF2-40B4-BE49-F238E27FC236}">
                <a16:creationId xmlns:a16="http://schemas.microsoft.com/office/drawing/2014/main" id="{00000000-0008-0000-0B00-00006C000000}"/>
              </a:ext>
            </a:extLst>
          </xdr:cNvPr>
          <xdr:cNvSpPr/>
        </xdr:nvSpPr>
        <xdr:spPr>
          <a:xfrm>
            <a:off x="1058227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09" name="Ellipse 108">
            <a:extLst>
              <a:ext uri="{FF2B5EF4-FFF2-40B4-BE49-F238E27FC236}">
                <a16:creationId xmlns:a16="http://schemas.microsoft.com/office/drawing/2014/main" id="{00000000-0008-0000-0B00-00006D000000}"/>
              </a:ext>
            </a:extLst>
          </xdr:cNvPr>
          <xdr:cNvSpPr/>
        </xdr:nvSpPr>
        <xdr:spPr>
          <a:xfrm>
            <a:off x="116776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10" name="Ellipse 109">
            <a:extLst>
              <a:ext uri="{FF2B5EF4-FFF2-40B4-BE49-F238E27FC236}">
                <a16:creationId xmlns:a16="http://schemas.microsoft.com/office/drawing/2014/main" id="{00000000-0008-0000-0B00-00006E000000}"/>
              </a:ext>
            </a:extLst>
          </xdr:cNvPr>
          <xdr:cNvSpPr/>
        </xdr:nvSpPr>
        <xdr:spPr>
          <a:xfrm>
            <a:off x="1094422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11" name="Ellipse 110">
            <a:extLst>
              <a:ext uri="{FF2B5EF4-FFF2-40B4-BE49-F238E27FC236}">
                <a16:creationId xmlns:a16="http://schemas.microsoft.com/office/drawing/2014/main" id="{00000000-0008-0000-0B00-00006F000000}"/>
              </a:ext>
            </a:extLst>
          </xdr:cNvPr>
          <xdr:cNvSpPr/>
        </xdr:nvSpPr>
        <xdr:spPr>
          <a:xfrm>
            <a:off x="1132522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12" name="Ellipse 111">
            <a:extLst>
              <a:ext uri="{FF2B5EF4-FFF2-40B4-BE49-F238E27FC236}">
                <a16:creationId xmlns:a16="http://schemas.microsoft.com/office/drawing/2014/main" id="{00000000-0008-0000-0B00-000070000000}"/>
              </a:ext>
            </a:extLst>
          </xdr:cNvPr>
          <xdr:cNvSpPr/>
        </xdr:nvSpPr>
        <xdr:spPr>
          <a:xfrm>
            <a:off x="1059180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13" name="Ellipse 112">
            <a:extLst>
              <a:ext uri="{FF2B5EF4-FFF2-40B4-BE49-F238E27FC236}">
                <a16:creationId xmlns:a16="http://schemas.microsoft.com/office/drawing/2014/main" id="{00000000-0008-0000-0B00-000071000000}"/>
              </a:ext>
            </a:extLst>
          </xdr:cNvPr>
          <xdr:cNvSpPr/>
        </xdr:nvSpPr>
        <xdr:spPr>
          <a:xfrm>
            <a:off x="1168284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14" name="Ellipse 113">
            <a:extLst>
              <a:ext uri="{FF2B5EF4-FFF2-40B4-BE49-F238E27FC236}">
                <a16:creationId xmlns:a16="http://schemas.microsoft.com/office/drawing/2014/main" id="{00000000-0008-0000-0B00-000072000000}"/>
              </a:ext>
            </a:extLst>
          </xdr:cNvPr>
          <xdr:cNvSpPr/>
        </xdr:nvSpPr>
        <xdr:spPr>
          <a:xfrm>
            <a:off x="1094942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15" name="Ellipse 114">
            <a:extLst>
              <a:ext uri="{FF2B5EF4-FFF2-40B4-BE49-F238E27FC236}">
                <a16:creationId xmlns:a16="http://schemas.microsoft.com/office/drawing/2014/main" id="{00000000-0008-0000-0B00-000073000000}"/>
              </a:ext>
            </a:extLst>
          </xdr:cNvPr>
          <xdr:cNvSpPr/>
        </xdr:nvSpPr>
        <xdr:spPr>
          <a:xfrm>
            <a:off x="911781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16" name="Ellipse 115">
            <a:extLst>
              <a:ext uri="{FF2B5EF4-FFF2-40B4-BE49-F238E27FC236}">
                <a16:creationId xmlns:a16="http://schemas.microsoft.com/office/drawing/2014/main" id="{00000000-0008-0000-0B00-000074000000}"/>
              </a:ext>
            </a:extLst>
          </xdr:cNvPr>
          <xdr:cNvSpPr/>
        </xdr:nvSpPr>
        <xdr:spPr>
          <a:xfrm>
            <a:off x="985123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17" name="Ellipse 116">
            <a:extLst>
              <a:ext uri="{FF2B5EF4-FFF2-40B4-BE49-F238E27FC236}">
                <a16:creationId xmlns:a16="http://schemas.microsoft.com/office/drawing/2014/main" id="{00000000-0008-0000-0B00-000075000000}"/>
              </a:ext>
            </a:extLst>
          </xdr:cNvPr>
          <xdr:cNvSpPr/>
        </xdr:nvSpPr>
        <xdr:spPr>
          <a:xfrm>
            <a:off x="1131808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18" name="Ellipse 117">
            <a:extLst>
              <a:ext uri="{FF2B5EF4-FFF2-40B4-BE49-F238E27FC236}">
                <a16:creationId xmlns:a16="http://schemas.microsoft.com/office/drawing/2014/main" id="{00000000-0008-0000-0B00-000076000000}"/>
              </a:ext>
            </a:extLst>
          </xdr:cNvPr>
          <xdr:cNvSpPr/>
        </xdr:nvSpPr>
        <xdr:spPr>
          <a:xfrm>
            <a:off x="1058466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editAs="absolute">
    <xdr:from>
      <xdr:col>1</xdr:col>
      <xdr:colOff>675388</xdr:colOff>
      <xdr:row>5</xdr:row>
      <xdr:rowOff>53307</xdr:rowOff>
    </xdr:from>
    <xdr:to>
      <xdr:col>2</xdr:col>
      <xdr:colOff>351668</xdr:colOff>
      <xdr:row>6</xdr:row>
      <xdr:rowOff>187057</xdr:rowOff>
    </xdr:to>
    <xdr:grpSp>
      <xdr:nvGrpSpPr>
        <xdr:cNvPr id="19" name="Groupe 18">
          <a:extLst>
            <a:ext uri="{FF2B5EF4-FFF2-40B4-BE49-F238E27FC236}">
              <a16:creationId xmlns:a16="http://schemas.microsoft.com/office/drawing/2014/main" id="{00000000-0008-0000-0B00-000013000000}"/>
            </a:ext>
          </a:extLst>
        </xdr:cNvPr>
        <xdr:cNvGrpSpPr/>
      </xdr:nvGrpSpPr>
      <xdr:grpSpPr>
        <a:xfrm>
          <a:off x="1437388" y="1005807"/>
          <a:ext cx="438280" cy="324250"/>
          <a:chOff x="8382000" y="1143000"/>
          <a:chExt cx="4382795" cy="3227450"/>
        </a:xfrm>
      </xdr:grpSpPr>
      <xdr:sp macro="" textlink="">
        <xdr:nvSpPr>
          <xdr:cNvPr id="71" name="Ellipse 70">
            <a:extLst>
              <a:ext uri="{FF2B5EF4-FFF2-40B4-BE49-F238E27FC236}">
                <a16:creationId xmlns:a16="http://schemas.microsoft.com/office/drawing/2014/main" id="{00000000-0008-0000-0B00-000047000000}"/>
              </a:ext>
            </a:extLst>
          </xdr:cNvPr>
          <xdr:cNvSpPr/>
        </xdr:nvSpPr>
        <xdr:spPr>
          <a:xfrm>
            <a:off x="911542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2" name="Ellipse 71">
            <a:extLst>
              <a:ext uri="{FF2B5EF4-FFF2-40B4-BE49-F238E27FC236}">
                <a16:creationId xmlns:a16="http://schemas.microsoft.com/office/drawing/2014/main" id="{00000000-0008-0000-0B00-000048000000}"/>
              </a:ext>
            </a:extLst>
          </xdr:cNvPr>
          <xdr:cNvSpPr/>
        </xdr:nvSpPr>
        <xdr:spPr>
          <a:xfrm>
            <a:off x="984885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3" name="Ellipse 72">
            <a:extLst>
              <a:ext uri="{FF2B5EF4-FFF2-40B4-BE49-F238E27FC236}">
                <a16:creationId xmlns:a16="http://schemas.microsoft.com/office/drawing/2014/main" id="{00000000-0008-0000-0B00-000049000000}"/>
              </a:ext>
            </a:extLst>
          </xdr:cNvPr>
          <xdr:cNvSpPr/>
        </xdr:nvSpPr>
        <xdr:spPr>
          <a:xfrm>
            <a:off x="838200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4" name="Ellipse 73">
            <a:extLst>
              <a:ext uri="{FF2B5EF4-FFF2-40B4-BE49-F238E27FC236}">
                <a16:creationId xmlns:a16="http://schemas.microsoft.com/office/drawing/2014/main" id="{00000000-0008-0000-0B00-00004A000000}"/>
              </a:ext>
            </a:extLst>
          </xdr:cNvPr>
          <xdr:cNvSpPr/>
        </xdr:nvSpPr>
        <xdr:spPr>
          <a:xfrm>
            <a:off x="947737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5" name="Ellipse 74">
            <a:extLst>
              <a:ext uri="{FF2B5EF4-FFF2-40B4-BE49-F238E27FC236}">
                <a16:creationId xmlns:a16="http://schemas.microsoft.com/office/drawing/2014/main" id="{00000000-0008-0000-0B00-00004B000000}"/>
              </a:ext>
            </a:extLst>
          </xdr:cNvPr>
          <xdr:cNvSpPr/>
        </xdr:nvSpPr>
        <xdr:spPr>
          <a:xfrm>
            <a:off x="1021080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6" name="Ellipse 75">
            <a:extLst>
              <a:ext uri="{FF2B5EF4-FFF2-40B4-BE49-F238E27FC236}">
                <a16:creationId xmlns:a16="http://schemas.microsoft.com/office/drawing/2014/main" id="{00000000-0008-0000-0B00-00004C000000}"/>
              </a:ext>
            </a:extLst>
          </xdr:cNvPr>
          <xdr:cNvSpPr/>
        </xdr:nvSpPr>
        <xdr:spPr>
          <a:xfrm>
            <a:off x="87439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7" name="Ellipse 76">
            <a:extLst>
              <a:ext uri="{FF2B5EF4-FFF2-40B4-BE49-F238E27FC236}">
                <a16:creationId xmlns:a16="http://schemas.microsoft.com/office/drawing/2014/main" id="{00000000-0008-0000-0B00-00004D000000}"/>
              </a:ext>
            </a:extLst>
          </xdr:cNvPr>
          <xdr:cNvSpPr/>
        </xdr:nvSpPr>
        <xdr:spPr>
          <a:xfrm>
            <a:off x="912495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8" name="Ellipse 77">
            <a:extLst>
              <a:ext uri="{FF2B5EF4-FFF2-40B4-BE49-F238E27FC236}">
                <a16:creationId xmlns:a16="http://schemas.microsoft.com/office/drawing/2014/main" id="{00000000-0008-0000-0B00-00004E000000}"/>
              </a:ext>
            </a:extLst>
          </xdr:cNvPr>
          <xdr:cNvSpPr/>
        </xdr:nvSpPr>
        <xdr:spPr>
          <a:xfrm>
            <a:off x="985837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9" name="Ellipse 78">
            <a:extLst>
              <a:ext uri="{FF2B5EF4-FFF2-40B4-BE49-F238E27FC236}">
                <a16:creationId xmlns:a16="http://schemas.microsoft.com/office/drawing/2014/main" id="{00000000-0008-0000-0B00-00004F000000}"/>
              </a:ext>
            </a:extLst>
          </xdr:cNvPr>
          <xdr:cNvSpPr/>
        </xdr:nvSpPr>
        <xdr:spPr>
          <a:xfrm>
            <a:off x="948690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0" name="Ellipse 79">
            <a:extLst>
              <a:ext uri="{FF2B5EF4-FFF2-40B4-BE49-F238E27FC236}">
                <a16:creationId xmlns:a16="http://schemas.microsoft.com/office/drawing/2014/main" id="{00000000-0008-0000-0B00-000050000000}"/>
              </a:ext>
            </a:extLst>
          </xdr:cNvPr>
          <xdr:cNvSpPr/>
        </xdr:nvSpPr>
        <xdr:spPr>
          <a:xfrm>
            <a:off x="1021599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1" name="Ellipse 80">
            <a:extLst>
              <a:ext uri="{FF2B5EF4-FFF2-40B4-BE49-F238E27FC236}">
                <a16:creationId xmlns:a16="http://schemas.microsoft.com/office/drawing/2014/main" id="{00000000-0008-0000-0B00-000051000000}"/>
              </a:ext>
            </a:extLst>
          </xdr:cNvPr>
          <xdr:cNvSpPr/>
        </xdr:nvSpPr>
        <xdr:spPr>
          <a:xfrm>
            <a:off x="875347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2" name="Ellipse 81">
            <a:extLst>
              <a:ext uri="{FF2B5EF4-FFF2-40B4-BE49-F238E27FC236}">
                <a16:creationId xmlns:a16="http://schemas.microsoft.com/office/drawing/2014/main" id="{00000000-0008-0000-0B00-000052000000}"/>
              </a:ext>
            </a:extLst>
          </xdr:cNvPr>
          <xdr:cNvSpPr/>
        </xdr:nvSpPr>
        <xdr:spPr>
          <a:xfrm>
            <a:off x="1131137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3" name="Ellipse 82">
            <a:extLst>
              <a:ext uri="{FF2B5EF4-FFF2-40B4-BE49-F238E27FC236}">
                <a16:creationId xmlns:a16="http://schemas.microsoft.com/office/drawing/2014/main" id="{00000000-0008-0000-0B00-000053000000}"/>
              </a:ext>
            </a:extLst>
          </xdr:cNvPr>
          <xdr:cNvSpPr/>
        </xdr:nvSpPr>
        <xdr:spPr>
          <a:xfrm>
            <a:off x="1204479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4" name="Ellipse 83">
            <a:extLst>
              <a:ext uri="{FF2B5EF4-FFF2-40B4-BE49-F238E27FC236}">
                <a16:creationId xmlns:a16="http://schemas.microsoft.com/office/drawing/2014/main" id="{00000000-0008-0000-0B00-000054000000}"/>
              </a:ext>
            </a:extLst>
          </xdr:cNvPr>
          <xdr:cNvSpPr/>
        </xdr:nvSpPr>
        <xdr:spPr>
          <a:xfrm>
            <a:off x="1058227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5" name="Ellipse 84">
            <a:extLst>
              <a:ext uri="{FF2B5EF4-FFF2-40B4-BE49-F238E27FC236}">
                <a16:creationId xmlns:a16="http://schemas.microsoft.com/office/drawing/2014/main" id="{00000000-0008-0000-0B00-000055000000}"/>
              </a:ext>
            </a:extLst>
          </xdr:cNvPr>
          <xdr:cNvSpPr/>
        </xdr:nvSpPr>
        <xdr:spPr>
          <a:xfrm>
            <a:off x="116776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6" name="Ellipse 85">
            <a:extLst>
              <a:ext uri="{FF2B5EF4-FFF2-40B4-BE49-F238E27FC236}">
                <a16:creationId xmlns:a16="http://schemas.microsoft.com/office/drawing/2014/main" id="{00000000-0008-0000-0B00-000056000000}"/>
              </a:ext>
            </a:extLst>
          </xdr:cNvPr>
          <xdr:cNvSpPr/>
        </xdr:nvSpPr>
        <xdr:spPr>
          <a:xfrm>
            <a:off x="1094422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7" name="Ellipse 86">
            <a:extLst>
              <a:ext uri="{FF2B5EF4-FFF2-40B4-BE49-F238E27FC236}">
                <a16:creationId xmlns:a16="http://schemas.microsoft.com/office/drawing/2014/main" id="{00000000-0008-0000-0B00-000057000000}"/>
              </a:ext>
            </a:extLst>
          </xdr:cNvPr>
          <xdr:cNvSpPr/>
        </xdr:nvSpPr>
        <xdr:spPr>
          <a:xfrm>
            <a:off x="1132522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8" name="Ellipse 87">
            <a:extLst>
              <a:ext uri="{FF2B5EF4-FFF2-40B4-BE49-F238E27FC236}">
                <a16:creationId xmlns:a16="http://schemas.microsoft.com/office/drawing/2014/main" id="{00000000-0008-0000-0B00-000058000000}"/>
              </a:ext>
            </a:extLst>
          </xdr:cNvPr>
          <xdr:cNvSpPr/>
        </xdr:nvSpPr>
        <xdr:spPr>
          <a:xfrm>
            <a:off x="1059180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89" name="Ellipse 88">
            <a:extLst>
              <a:ext uri="{FF2B5EF4-FFF2-40B4-BE49-F238E27FC236}">
                <a16:creationId xmlns:a16="http://schemas.microsoft.com/office/drawing/2014/main" id="{00000000-0008-0000-0B00-000059000000}"/>
              </a:ext>
            </a:extLst>
          </xdr:cNvPr>
          <xdr:cNvSpPr/>
        </xdr:nvSpPr>
        <xdr:spPr>
          <a:xfrm>
            <a:off x="1168284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90" name="Ellipse 89">
            <a:extLst>
              <a:ext uri="{FF2B5EF4-FFF2-40B4-BE49-F238E27FC236}">
                <a16:creationId xmlns:a16="http://schemas.microsoft.com/office/drawing/2014/main" id="{00000000-0008-0000-0B00-00005A000000}"/>
              </a:ext>
            </a:extLst>
          </xdr:cNvPr>
          <xdr:cNvSpPr/>
        </xdr:nvSpPr>
        <xdr:spPr>
          <a:xfrm>
            <a:off x="1094942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91" name="Ellipse 90">
            <a:extLst>
              <a:ext uri="{FF2B5EF4-FFF2-40B4-BE49-F238E27FC236}">
                <a16:creationId xmlns:a16="http://schemas.microsoft.com/office/drawing/2014/main" id="{00000000-0008-0000-0B00-00005B000000}"/>
              </a:ext>
            </a:extLst>
          </xdr:cNvPr>
          <xdr:cNvSpPr/>
        </xdr:nvSpPr>
        <xdr:spPr>
          <a:xfrm>
            <a:off x="911781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92" name="Ellipse 91">
            <a:extLst>
              <a:ext uri="{FF2B5EF4-FFF2-40B4-BE49-F238E27FC236}">
                <a16:creationId xmlns:a16="http://schemas.microsoft.com/office/drawing/2014/main" id="{00000000-0008-0000-0B00-00005C000000}"/>
              </a:ext>
            </a:extLst>
          </xdr:cNvPr>
          <xdr:cNvSpPr/>
        </xdr:nvSpPr>
        <xdr:spPr>
          <a:xfrm>
            <a:off x="985123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93" name="Ellipse 92">
            <a:extLst>
              <a:ext uri="{FF2B5EF4-FFF2-40B4-BE49-F238E27FC236}">
                <a16:creationId xmlns:a16="http://schemas.microsoft.com/office/drawing/2014/main" id="{00000000-0008-0000-0B00-00005D000000}"/>
              </a:ext>
            </a:extLst>
          </xdr:cNvPr>
          <xdr:cNvSpPr/>
        </xdr:nvSpPr>
        <xdr:spPr>
          <a:xfrm>
            <a:off x="1131808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94" name="Ellipse 93">
            <a:extLst>
              <a:ext uri="{FF2B5EF4-FFF2-40B4-BE49-F238E27FC236}">
                <a16:creationId xmlns:a16="http://schemas.microsoft.com/office/drawing/2014/main" id="{00000000-0008-0000-0B00-00005E000000}"/>
              </a:ext>
            </a:extLst>
          </xdr:cNvPr>
          <xdr:cNvSpPr/>
        </xdr:nvSpPr>
        <xdr:spPr>
          <a:xfrm>
            <a:off x="1058466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editAs="absolute">
    <xdr:from>
      <xdr:col>1</xdr:col>
      <xdr:colOff>675445</xdr:colOff>
      <xdr:row>3</xdr:row>
      <xdr:rowOff>109829</xdr:rowOff>
    </xdr:from>
    <xdr:to>
      <xdr:col>2</xdr:col>
      <xdr:colOff>351725</xdr:colOff>
      <xdr:row>5</xdr:row>
      <xdr:rowOff>53079</xdr:rowOff>
    </xdr:to>
    <xdr:grpSp>
      <xdr:nvGrpSpPr>
        <xdr:cNvPr id="20" name="Groupe 19">
          <a:extLst>
            <a:ext uri="{FF2B5EF4-FFF2-40B4-BE49-F238E27FC236}">
              <a16:creationId xmlns:a16="http://schemas.microsoft.com/office/drawing/2014/main" id="{00000000-0008-0000-0B00-000014000000}"/>
            </a:ext>
          </a:extLst>
        </xdr:cNvPr>
        <xdr:cNvGrpSpPr/>
      </xdr:nvGrpSpPr>
      <xdr:grpSpPr>
        <a:xfrm>
          <a:off x="1437445" y="681329"/>
          <a:ext cx="438280" cy="324250"/>
          <a:chOff x="8382000" y="1143000"/>
          <a:chExt cx="4382795" cy="3227450"/>
        </a:xfrm>
      </xdr:grpSpPr>
      <xdr:sp macro="" textlink="">
        <xdr:nvSpPr>
          <xdr:cNvPr id="47" name="Ellipse 46">
            <a:extLst>
              <a:ext uri="{FF2B5EF4-FFF2-40B4-BE49-F238E27FC236}">
                <a16:creationId xmlns:a16="http://schemas.microsoft.com/office/drawing/2014/main" id="{00000000-0008-0000-0B00-00002F000000}"/>
              </a:ext>
            </a:extLst>
          </xdr:cNvPr>
          <xdr:cNvSpPr/>
        </xdr:nvSpPr>
        <xdr:spPr>
          <a:xfrm>
            <a:off x="911542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8" name="Ellipse 47">
            <a:extLst>
              <a:ext uri="{FF2B5EF4-FFF2-40B4-BE49-F238E27FC236}">
                <a16:creationId xmlns:a16="http://schemas.microsoft.com/office/drawing/2014/main" id="{00000000-0008-0000-0B00-000030000000}"/>
              </a:ext>
            </a:extLst>
          </xdr:cNvPr>
          <xdr:cNvSpPr/>
        </xdr:nvSpPr>
        <xdr:spPr>
          <a:xfrm>
            <a:off x="984885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9" name="Ellipse 48">
            <a:extLst>
              <a:ext uri="{FF2B5EF4-FFF2-40B4-BE49-F238E27FC236}">
                <a16:creationId xmlns:a16="http://schemas.microsoft.com/office/drawing/2014/main" id="{00000000-0008-0000-0B00-000031000000}"/>
              </a:ext>
            </a:extLst>
          </xdr:cNvPr>
          <xdr:cNvSpPr/>
        </xdr:nvSpPr>
        <xdr:spPr>
          <a:xfrm>
            <a:off x="838200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0" name="Ellipse 49">
            <a:extLst>
              <a:ext uri="{FF2B5EF4-FFF2-40B4-BE49-F238E27FC236}">
                <a16:creationId xmlns:a16="http://schemas.microsoft.com/office/drawing/2014/main" id="{00000000-0008-0000-0B00-000032000000}"/>
              </a:ext>
            </a:extLst>
          </xdr:cNvPr>
          <xdr:cNvSpPr/>
        </xdr:nvSpPr>
        <xdr:spPr>
          <a:xfrm>
            <a:off x="947737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1" name="Ellipse 50">
            <a:extLst>
              <a:ext uri="{FF2B5EF4-FFF2-40B4-BE49-F238E27FC236}">
                <a16:creationId xmlns:a16="http://schemas.microsoft.com/office/drawing/2014/main" id="{00000000-0008-0000-0B00-000033000000}"/>
              </a:ext>
            </a:extLst>
          </xdr:cNvPr>
          <xdr:cNvSpPr/>
        </xdr:nvSpPr>
        <xdr:spPr>
          <a:xfrm>
            <a:off x="1021080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2" name="Ellipse 51">
            <a:extLst>
              <a:ext uri="{FF2B5EF4-FFF2-40B4-BE49-F238E27FC236}">
                <a16:creationId xmlns:a16="http://schemas.microsoft.com/office/drawing/2014/main" id="{00000000-0008-0000-0B00-000034000000}"/>
              </a:ext>
            </a:extLst>
          </xdr:cNvPr>
          <xdr:cNvSpPr/>
        </xdr:nvSpPr>
        <xdr:spPr>
          <a:xfrm>
            <a:off x="87439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3" name="Ellipse 52">
            <a:extLst>
              <a:ext uri="{FF2B5EF4-FFF2-40B4-BE49-F238E27FC236}">
                <a16:creationId xmlns:a16="http://schemas.microsoft.com/office/drawing/2014/main" id="{00000000-0008-0000-0B00-000035000000}"/>
              </a:ext>
            </a:extLst>
          </xdr:cNvPr>
          <xdr:cNvSpPr/>
        </xdr:nvSpPr>
        <xdr:spPr>
          <a:xfrm>
            <a:off x="912495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4" name="Ellipse 53">
            <a:extLst>
              <a:ext uri="{FF2B5EF4-FFF2-40B4-BE49-F238E27FC236}">
                <a16:creationId xmlns:a16="http://schemas.microsoft.com/office/drawing/2014/main" id="{00000000-0008-0000-0B00-000036000000}"/>
              </a:ext>
            </a:extLst>
          </xdr:cNvPr>
          <xdr:cNvSpPr/>
        </xdr:nvSpPr>
        <xdr:spPr>
          <a:xfrm>
            <a:off x="985837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5" name="Ellipse 54">
            <a:extLst>
              <a:ext uri="{FF2B5EF4-FFF2-40B4-BE49-F238E27FC236}">
                <a16:creationId xmlns:a16="http://schemas.microsoft.com/office/drawing/2014/main" id="{00000000-0008-0000-0B00-000037000000}"/>
              </a:ext>
            </a:extLst>
          </xdr:cNvPr>
          <xdr:cNvSpPr/>
        </xdr:nvSpPr>
        <xdr:spPr>
          <a:xfrm>
            <a:off x="948690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6" name="Ellipse 55">
            <a:extLst>
              <a:ext uri="{FF2B5EF4-FFF2-40B4-BE49-F238E27FC236}">
                <a16:creationId xmlns:a16="http://schemas.microsoft.com/office/drawing/2014/main" id="{00000000-0008-0000-0B00-000038000000}"/>
              </a:ext>
            </a:extLst>
          </xdr:cNvPr>
          <xdr:cNvSpPr/>
        </xdr:nvSpPr>
        <xdr:spPr>
          <a:xfrm>
            <a:off x="1021599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7" name="Ellipse 56">
            <a:extLst>
              <a:ext uri="{FF2B5EF4-FFF2-40B4-BE49-F238E27FC236}">
                <a16:creationId xmlns:a16="http://schemas.microsoft.com/office/drawing/2014/main" id="{00000000-0008-0000-0B00-000039000000}"/>
              </a:ext>
            </a:extLst>
          </xdr:cNvPr>
          <xdr:cNvSpPr/>
        </xdr:nvSpPr>
        <xdr:spPr>
          <a:xfrm>
            <a:off x="875347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8" name="Ellipse 57">
            <a:extLst>
              <a:ext uri="{FF2B5EF4-FFF2-40B4-BE49-F238E27FC236}">
                <a16:creationId xmlns:a16="http://schemas.microsoft.com/office/drawing/2014/main" id="{00000000-0008-0000-0B00-00003A000000}"/>
              </a:ext>
            </a:extLst>
          </xdr:cNvPr>
          <xdr:cNvSpPr/>
        </xdr:nvSpPr>
        <xdr:spPr>
          <a:xfrm>
            <a:off x="1131137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59" name="Ellipse 58">
            <a:extLst>
              <a:ext uri="{FF2B5EF4-FFF2-40B4-BE49-F238E27FC236}">
                <a16:creationId xmlns:a16="http://schemas.microsoft.com/office/drawing/2014/main" id="{00000000-0008-0000-0B00-00003B000000}"/>
              </a:ext>
            </a:extLst>
          </xdr:cNvPr>
          <xdr:cNvSpPr/>
        </xdr:nvSpPr>
        <xdr:spPr>
          <a:xfrm>
            <a:off x="1204479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0" name="Ellipse 59">
            <a:extLst>
              <a:ext uri="{FF2B5EF4-FFF2-40B4-BE49-F238E27FC236}">
                <a16:creationId xmlns:a16="http://schemas.microsoft.com/office/drawing/2014/main" id="{00000000-0008-0000-0B00-00003C000000}"/>
              </a:ext>
            </a:extLst>
          </xdr:cNvPr>
          <xdr:cNvSpPr/>
        </xdr:nvSpPr>
        <xdr:spPr>
          <a:xfrm>
            <a:off x="1058227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1" name="Ellipse 60">
            <a:extLst>
              <a:ext uri="{FF2B5EF4-FFF2-40B4-BE49-F238E27FC236}">
                <a16:creationId xmlns:a16="http://schemas.microsoft.com/office/drawing/2014/main" id="{00000000-0008-0000-0B00-00003D000000}"/>
              </a:ext>
            </a:extLst>
          </xdr:cNvPr>
          <xdr:cNvSpPr/>
        </xdr:nvSpPr>
        <xdr:spPr>
          <a:xfrm>
            <a:off x="116776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2" name="Ellipse 61">
            <a:extLst>
              <a:ext uri="{FF2B5EF4-FFF2-40B4-BE49-F238E27FC236}">
                <a16:creationId xmlns:a16="http://schemas.microsoft.com/office/drawing/2014/main" id="{00000000-0008-0000-0B00-00003E000000}"/>
              </a:ext>
            </a:extLst>
          </xdr:cNvPr>
          <xdr:cNvSpPr/>
        </xdr:nvSpPr>
        <xdr:spPr>
          <a:xfrm>
            <a:off x="1094422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3" name="Ellipse 62">
            <a:extLst>
              <a:ext uri="{FF2B5EF4-FFF2-40B4-BE49-F238E27FC236}">
                <a16:creationId xmlns:a16="http://schemas.microsoft.com/office/drawing/2014/main" id="{00000000-0008-0000-0B00-00003F000000}"/>
              </a:ext>
            </a:extLst>
          </xdr:cNvPr>
          <xdr:cNvSpPr/>
        </xdr:nvSpPr>
        <xdr:spPr>
          <a:xfrm>
            <a:off x="1132522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4" name="Ellipse 63">
            <a:extLst>
              <a:ext uri="{FF2B5EF4-FFF2-40B4-BE49-F238E27FC236}">
                <a16:creationId xmlns:a16="http://schemas.microsoft.com/office/drawing/2014/main" id="{00000000-0008-0000-0B00-000040000000}"/>
              </a:ext>
            </a:extLst>
          </xdr:cNvPr>
          <xdr:cNvSpPr/>
        </xdr:nvSpPr>
        <xdr:spPr>
          <a:xfrm>
            <a:off x="1059180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5" name="Ellipse 64">
            <a:extLst>
              <a:ext uri="{FF2B5EF4-FFF2-40B4-BE49-F238E27FC236}">
                <a16:creationId xmlns:a16="http://schemas.microsoft.com/office/drawing/2014/main" id="{00000000-0008-0000-0B00-000041000000}"/>
              </a:ext>
            </a:extLst>
          </xdr:cNvPr>
          <xdr:cNvSpPr/>
        </xdr:nvSpPr>
        <xdr:spPr>
          <a:xfrm>
            <a:off x="1168284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6" name="Ellipse 65">
            <a:extLst>
              <a:ext uri="{FF2B5EF4-FFF2-40B4-BE49-F238E27FC236}">
                <a16:creationId xmlns:a16="http://schemas.microsoft.com/office/drawing/2014/main" id="{00000000-0008-0000-0B00-000042000000}"/>
              </a:ext>
            </a:extLst>
          </xdr:cNvPr>
          <xdr:cNvSpPr/>
        </xdr:nvSpPr>
        <xdr:spPr>
          <a:xfrm>
            <a:off x="1094942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7" name="Ellipse 66">
            <a:extLst>
              <a:ext uri="{FF2B5EF4-FFF2-40B4-BE49-F238E27FC236}">
                <a16:creationId xmlns:a16="http://schemas.microsoft.com/office/drawing/2014/main" id="{00000000-0008-0000-0B00-000043000000}"/>
              </a:ext>
            </a:extLst>
          </xdr:cNvPr>
          <xdr:cNvSpPr/>
        </xdr:nvSpPr>
        <xdr:spPr>
          <a:xfrm>
            <a:off x="911781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8" name="Ellipse 67">
            <a:extLst>
              <a:ext uri="{FF2B5EF4-FFF2-40B4-BE49-F238E27FC236}">
                <a16:creationId xmlns:a16="http://schemas.microsoft.com/office/drawing/2014/main" id="{00000000-0008-0000-0B00-000044000000}"/>
              </a:ext>
            </a:extLst>
          </xdr:cNvPr>
          <xdr:cNvSpPr/>
        </xdr:nvSpPr>
        <xdr:spPr>
          <a:xfrm>
            <a:off x="985123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69" name="Ellipse 68">
            <a:extLst>
              <a:ext uri="{FF2B5EF4-FFF2-40B4-BE49-F238E27FC236}">
                <a16:creationId xmlns:a16="http://schemas.microsoft.com/office/drawing/2014/main" id="{00000000-0008-0000-0B00-000045000000}"/>
              </a:ext>
            </a:extLst>
          </xdr:cNvPr>
          <xdr:cNvSpPr/>
        </xdr:nvSpPr>
        <xdr:spPr>
          <a:xfrm>
            <a:off x="1131808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70" name="Ellipse 69">
            <a:extLst>
              <a:ext uri="{FF2B5EF4-FFF2-40B4-BE49-F238E27FC236}">
                <a16:creationId xmlns:a16="http://schemas.microsoft.com/office/drawing/2014/main" id="{00000000-0008-0000-0B00-000046000000}"/>
              </a:ext>
            </a:extLst>
          </xdr:cNvPr>
          <xdr:cNvSpPr/>
        </xdr:nvSpPr>
        <xdr:spPr>
          <a:xfrm>
            <a:off x="1058466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editAs="absolute">
    <xdr:from>
      <xdr:col>2</xdr:col>
      <xdr:colOff>482582</xdr:colOff>
      <xdr:row>5</xdr:row>
      <xdr:rowOff>53094</xdr:rowOff>
    </xdr:from>
    <xdr:to>
      <xdr:col>3</xdr:col>
      <xdr:colOff>158862</xdr:colOff>
      <xdr:row>6</xdr:row>
      <xdr:rowOff>186844</xdr:rowOff>
    </xdr:to>
    <xdr:grpSp>
      <xdr:nvGrpSpPr>
        <xdr:cNvPr id="21" name="Groupe 20">
          <a:extLst>
            <a:ext uri="{FF2B5EF4-FFF2-40B4-BE49-F238E27FC236}">
              <a16:creationId xmlns:a16="http://schemas.microsoft.com/office/drawing/2014/main" id="{00000000-0008-0000-0B00-000015000000}"/>
            </a:ext>
          </a:extLst>
        </xdr:cNvPr>
        <xdr:cNvGrpSpPr/>
      </xdr:nvGrpSpPr>
      <xdr:grpSpPr>
        <a:xfrm>
          <a:off x="2006582" y="1005594"/>
          <a:ext cx="438280" cy="324250"/>
          <a:chOff x="8382000" y="1143000"/>
          <a:chExt cx="4382795" cy="3227450"/>
        </a:xfrm>
      </xdr:grpSpPr>
      <xdr:sp macro="" textlink="">
        <xdr:nvSpPr>
          <xdr:cNvPr id="23" name="Ellipse 22">
            <a:extLst>
              <a:ext uri="{FF2B5EF4-FFF2-40B4-BE49-F238E27FC236}">
                <a16:creationId xmlns:a16="http://schemas.microsoft.com/office/drawing/2014/main" id="{00000000-0008-0000-0B00-000017000000}"/>
              </a:ext>
            </a:extLst>
          </xdr:cNvPr>
          <xdr:cNvSpPr/>
        </xdr:nvSpPr>
        <xdr:spPr>
          <a:xfrm>
            <a:off x="911542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4" name="Ellipse 23">
            <a:extLst>
              <a:ext uri="{FF2B5EF4-FFF2-40B4-BE49-F238E27FC236}">
                <a16:creationId xmlns:a16="http://schemas.microsoft.com/office/drawing/2014/main" id="{00000000-0008-0000-0B00-000018000000}"/>
              </a:ext>
            </a:extLst>
          </xdr:cNvPr>
          <xdr:cNvSpPr/>
        </xdr:nvSpPr>
        <xdr:spPr>
          <a:xfrm>
            <a:off x="984885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5" name="Ellipse 24">
            <a:extLst>
              <a:ext uri="{FF2B5EF4-FFF2-40B4-BE49-F238E27FC236}">
                <a16:creationId xmlns:a16="http://schemas.microsoft.com/office/drawing/2014/main" id="{00000000-0008-0000-0B00-000019000000}"/>
              </a:ext>
            </a:extLst>
          </xdr:cNvPr>
          <xdr:cNvSpPr/>
        </xdr:nvSpPr>
        <xdr:spPr>
          <a:xfrm>
            <a:off x="838200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6" name="Ellipse 25">
            <a:extLst>
              <a:ext uri="{FF2B5EF4-FFF2-40B4-BE49-F238E27FC236}">
                <a16:creationId xmlns:a16="http://schemas.microsoft.com/office/drawing/2014/main" id="{00000000-0008-0000-0B00-00001A000000}"/>
              </a:ext>
            </a:extLst>
          </xdr:cNvPr>
          <xdr:cNvSpPr/>
        </xdr:nvSpPr>
        <xdr:spPr>
          <a:xfrm>
            <a:off x="947737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7" name="Ellipse 26">
            <a:extLst>
              <a:ext uri="{FF2B5EF4-FFF2-40B4-BE49-F238E27FC236}">
                <a16:creationId xmlns:a16="http://schemas.microsoft.com/office/drawing/2014/main" id="{00000000-0008-0000-0B00-00001B000000}"/>
              </a:ext>
            </a:extLst>
          </xdr:cNvPr>
          <xdr:cNvSpPr/>
        </xdr:nvSpPr>
        <xdr:spPr>
          <a:xfrm>
            <a:off x="1021080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8" name="Ellipse 27">
            <a:extLst>
              <a:ext uri="{FF2B5EF4-FFF2-40B4-BE49-F238E27FC236}">
                <a16:creationId xmlns:a16="http://schemas.microsoft.com/office/drawing/2014/main" id="{00000000-0008-0000-0B00-00001C000000}"/>
              </a:ext>
            </a:extLst>
          </xdr:cNvPr>
          <xdr:cNvSpPr/>
        </xdr:nvSpPr>
        <xdr:spPr>
          <a:xfrm>
            <a:off x="87439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9" name="Ellipse 28">
            <a:extLst>
              <a:ext uri="{FF2B5EF4-FFF2-40B4-BE49-F238E27FC236}">
                <a16:creationId xmlns:a16="http://schemas.microsoft.com/office/drawing/2014/main" id="{00000000-0008-0000-0B00-00001D000000}"/>
              </a:ext>
            </a:extLst>
          </xdr:cNvPr>
          <xdr:cNvSpPr/>
        </xdr:nvSpPr>
        <xdr:spPr>
          <a:xfrm>
            <a:off x="912495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0" name="Ellipse 29">
            <a:extLst>
              <a:ext uri="{FF2B5EF4-FFF2-40B4-BE49-F238E27FC236}">
                <a16:creationId xmlns:a16="http://schemas.microsoft.com/office/drawing/2014/main" id="{00000000-0008-0000-0B00-00001E000000}"/>
              </a:ext>
            </a:extLst>
          </xdr:cNvPr>
          <xdr:cNvSpPr/>
        </xdr:nvSpPr>
        <xdr:spPr>
          <a:xfrm>
            <a:off x="985837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1" name="Ellipse 30">
            <a:extLst>
              <a:ext uri="{FF2B5EF4-FFF2-40B4-BE49-F238E27FC236}">
                <a16:creationId xmlns:a16="http://schemas.microsoft.com/office/drawing/2014/main" id="{00000000-0008-0000-0B00-00001F000000}"/>
              </a:ext>
            </a:extLst>
          </xdr:cNvPr>
          <xdr:cNvSpPr/>
        </xdr:nvSpPr>
        <xdr:spPr>
          <a:xfrm>
            <a:off x="948690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2" name="Ellipse 31">
            <a:extLst>
              <a:ext uri="{FF2B5EF4-FFF2-40B4-BE49-F238E27FC236}">
                <a16:creationId xmlns:a16="http://schemas.microsoft.com/office/drawing/2014/main" id="{00000000-0008-0000-0B00-000020000000}"/>
              </a:ext>
            </a:extLst>
          </xdr:cNvPr>
          <xdr:cNvSpPr/>
        </xdr:nvSpPr>
        <xdr:spPr>
          <a:xfrm>
            <a:off x="1021599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3" name="Ellipse 32">
            <a:extLst>
              <a:ext uri="{FF2B5EF4-FFF2-40B4-BE49-F238E27FC236}">
                <a16:creationId xmlns:a16="http://schemas.microsoft.com/office/drawing/2014/main" id="{00000000-0008-0000-0B00-000021000000}"/>
              </a:ext>
            </a:extLst>
          </xdr:cNvPr>
          <xdr:cNvSpPr/>
        </xdr:nvSpPr>
        <xdr:spPr>
          <a:xfrm>
            <a:off x="875347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 name="Ellipse 33">
            <a:extLst>
              <a:ext uri="{FF2B5EF4-FFF2-40B4-BE49-F238E27FC236}">
                <a16:creationId xmlns:a16="http://schemas.microsoft.com/office/drawing/2014/main" id="{00000000-0008-0000-0B00-000022000000}"/>
              </a:ext>
            </a:extLst>
          </xdr:cNvPr>
          <xdr:cNvSpPr/>
        </xdr:nvSpPr>
        <xdr:spPr>
          <a:xfrm>
            <a:off x="1131137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 name="Ellipse 34">
            <a:extLst>
              <a:ext uri="{FF2B5EF4-FFF2-40B4-BE49-F238E27FC236}">
                <a16:creationId xmlns:a16="http://schemas.microsoft.com/office/drawing/2014/main" id="{00000000-0008-0000-0B00-000023000000}"/>
              </a:ext>
            </a:extLst>
          </xdr:cNvPr>
          <xdr:cNvSpPr/>
        </xdr:nvSpPr>
        <xdr:spPr>
          <a:xfrm>
            <a:off x="1204479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 name="Ellipse 35">
            <a:extLst>
              <a:ext uri="{FF2B5EF4-FFF2-40B4-BE49-F238E27FC236}">
                <a16:creationId xmlns:a16="http://schemas.microsoft.com/office/drawing/2014/main" id="{00000000-0008-0000-0B00-000024000000}"/>
              </a:ext>
            </a:extLst>
          </xdr:cNvPr>
          <xdr:cNvSpPr/>
        </xdr:nvSpPr>
        <xdr:spPr>
          <a:xfrm>
            <a:off x="1058227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 name="Ellipse 36">
            <a:extLst>
              <a:ext uri="{FF2B5EF4-FFF2-40B4-BE49-F238E27FC236}">
                <a16:creationId xmlns:a16="http://schemas.microsoft.com/office/drawing/2014/main" id="{00000000-0008-0000-0B00-000025000000}"/>
              </a:ext>
            </a:extLst>
          </xdr:cNvPr>
          <xdr:cNvSpPr/>
        </xdr:nvSpPr>
        <xdr:spPr>
          <a:xfrm>
            <a:off x="116776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 name="Ellipse 37">
            <a:extLst>
              <a:ext uri="{FF2B5EF4-FFF2-40B4-BE49-F238E27FC236}">
                <a16:creationId xmlns:a16="http://schemas.microsoft.com/office/drawing/2014/main" id="{00000000-0008-0000-0B00-000026000000}"/>
              </a:ext>
            </a:extLst>
          </xdr:cNvPr>
          <xdr:cNvSpPr/>
        </xdr:nvSpPr>
        <xdr:spPr>
          <a:xfrm>
            <a:off x="1094422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 name="Ellipse 38">
            <a:extLst>
              <a:ext uri="{FF2B5EF4-FFF2-40B4-BE49-F238E27FC236}">
                <a16:creationId xmlns:a16="http://schemas.microsoft.com/office/drawing/2014/main" id="{00000000-0008-0000-0B00-000027000000}"/>
              </a:ext>
            </a:extLst>
          </xdr:cNvPr>
          <xdr:cNvSpPr/>
        </xdr:nvSpPr>
        <xdr:spPr>
          <a:xfrm>
            <a:off x="1132522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 name="Ellipse 39">
            <a:extLst>
              <a:ext uri="{FF2B5EF4-FFF2-40B4-BE49-F238E27FC236}">
                <a16:creationId xmlns:a16="http://schemas.microsoft.com/office/drawing/2014/main" id="{00000000-0008-0000-0B00-000028000000}"/>
              </a:ext>
            </a:extLst>
          </xdr:cNvPr>
          <xdr:cNvSpPr/>
        </xdr:nvSpPr>
        <xdr:spPr>
          <a:xfrm>
            <a:off x="1059180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 name="Ellipse 40">
            <a:extLst>
              <a:ext uri="{FF2B5EF4-FFF2-40B4-BE49-F238E27FC236}">
                <a16:creationId xmlns:a16="http://schemas.microsoft.com/office/drawing/2014/main" id="{00000000-0008-0000-0B00-000029000000}"/>
              </a:ext>
            </a:extLst>
          </xdr:cNvPr>
          <xdr:cNvSpPr/>
        </xdr:nvSpPr>
        <xdr:spPr>
          <a:xfrm>
            <a:off x="1168284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 name="Ellipse 41">
            <a:extLst>
              <a:ext uri="{FF2B5EF4-FFF2-40B4-BE49-F238E27FC236}">
                <a16:creationId xmlns:a16="http://schemas.microsoft.com/office/drawing/2014/main" id="{00000000-0008-0000-0B00-00002A000000}"/>
              </a:ext>
            </a:extLst>
          </xdr:cNvPr>
          <xdr:cNvSpPr/>
        </xdr:nvSpPr>
        <xdr:spPr>
          <a:xfrm>
            <a:off x="1094942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 name="Ellipse 42">
            <a:extLst>
              <a:ext uri="{FF2B5EF4-FFF2-40B4-BE49-F238E27FC236}">
                <a16:creationId xmlns:a16="http://schemas.microsoft.com/office/drawing/2014/main" id="{00000000-0008-0000-0B00-00002B000000}"/>
              </a:ext>
            </a:extLst>
          </xdr:cNvPr>
          <xdr:cNvSpPr/>
        </xdr:nvSpPr>
        <xdr:spPr>
          <a:xfrm>
            <a:off x="911781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 name="Ellipse 43">
            <a:extLst>
              <a:ext uri="{FF2B5EF4-FFF2-40B4-BE49-F238E27FC236}">
                <a16:creationId xmlns:a16="http://schemas.microsoft.com/office/drawing/2014/main" id="{00000000-0008-0000-0B00-00002C000000}"/>
              </a:ext>
            </a:extLst>
          </xdr:cNvPr>
          <xdr:cNvSpPr/>
        </xdr:nvSpPr>
        <xdr:spPr>
          <a:xfrm>
            <a:off x="985123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5" name="Ellipse 44">
            <a:extLst>
              <a:ext uri="{FF2B5EF4-FFF2-40B4-BE49-F238E27FC236}">
                <a16:creationId xmlns:a16="http://schemas.microsoft.com/office/drawing/2014/main" id="{00000000-0008-0000-0B00-00002D000000}"/>
              </a:ext>
            </a:extLst>
          </xdr:cNvPr>
          <xdr:cNvSpPr/>
        </xdr:nvSpPr>
        <xdr:spPr>
          <a:xfrm>
            <a:off x="1131808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6" name="Ellipse 45">
            <a:extLst>
              <a:ext uri="{FF2B5EF4-FFF2-40B4-BE49-F238E27FC236}">
                <a16:creationId xmlns:a16="http://schemas.microsoft.com/office/drawing/2014/main" id="{00000000-0008-0000-0B00-00002E000000}"/>
              </a:ext>
            </a:extLst>
          </xdr:cNvPr>
          <xdr:cNvSpPr/>
        </xdr:nvSpPr>
        <xdr:spPr>
          <a:xfrm>
            <a:off x="1058466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editAs="absolute">
    <xdr:from>
      <xdr:col>0</xdr:col>
      <xdr:colOff>752475</xdr:colOff>
      <xdr:row>7</xdr:row>
      <xdr:rowOff>2454</xdr:rowOff>
    </xdr:from>
    <xdr:to>
      <xdr:col>3</xdr:col>
      <xdr:colOff>266475</xdr:colOff>
      <xdr:row>7</xdr:row>
      <xdr:rowOff>2454</xdr:rowOff>
    </xdr:to>
    <xdr:cxnSp macro="">
      <xdr:nvCxnSpPr>
        <xdr:cNvPr id="22" name="Connecteur droit 21">
          <a:extLst>
            <a:ext uri="{FF2B5EF4-FFF2-40B4-BE49-F238E27FC236}">
              <a16:creationId xmlns:a16="http://schemas.microsoft.com/office/drawing/2014/main" id="{00000000-0008-0000-0B00-000016000000}"/>
            </a:ext>
          </a:extLst>
        </xdr:cNvPr>
        <xdr:cNvCxnSpPr/>
      </xdr:nvCxnSpPr>
      <xdr:spPr>
        <a:xfrm flipV="1">
          <a:off x="752475" y="1335954"/>
          <a:ext cx="1800000" cy="0"/>
        </a:xfrm>
        <a:prstGeom prst="lin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editAs="absolute">
    <xdr:from>
      <xdr:col>2</xdr:col>
      <xdr:colOff>482122</xdr:colOff>
      <xdr:row>6</xdr:row>
      <xdr:rowOff>23439</xdr:rowOff>
    </xdr:from>
    <xdr:to>
      <xdr:col>2</xdr:col>
      <xdr:colOff>482122</xdr:colOff>
      <xdr:row>8</xdr:row>
      <xdr:rowOff>4117</xdr:rowOff>
    </xdr:to>
    <xdr:cxnSp macro="">
      <xdr:nvCxnSpPr>
        <xdr:cNvPr id="10" name="Connecteur droit 9">
          <a:extLst>
            <a:ext uri="{FF2B5EF4-FFF2-40B4-BE49-F238E27FC236}">
              <a16:creationId xmlns:a16="http://schemas.microsoft.com/office/drawing/2014/main" id="{00000000-0008-0000-0B00-00000A000000}"/>
            </a:ext>
          </a:extLst>
        </xdr:cNvPr>
        <xdr:cNvCxnSpPr/>
      </xdr:nvCxnSpPr>
      <xdr:spPr>
        <a:xfrm>
          <a:off x="2006122" y="1166439"/>
          <a:ext cx="0" cy="361678"/>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xdr:col>
      <xdr:colOff>158291</xdr:colOff>
      <xdr:row>6</xdr:row>
      <xdr:rowOff>23439</xdr:rowOff>
    </xdr:from>
    <xdr:to>
      <xdr:col>3</xdr:col>
      <xdr:colOff>158291</xdr:colOff>
      <xdr:row>8</xdr:row>
      <xdr:rowOff>4117</xdr:rowOff>
    </xdr:to>
    <xdr:cxnSp macro="">
      <xdr:nvCxnSpPr>
        <xdr:cNvPr id="11" name="Connecteur droit 10">
          <a:extLst>
            <a:ext uri="{FF2B5EF4-FFF2-40B4-BE49-F238E27FC236}">
              <a16:creationId xmlns:a16="http://schemas.microsoft.com/office/drawing/2014/main" id="{00000000-0008-0000-0B00-00000B000000}"/>
            </a:ext>
          </a:extLst>
        </xdr:cNvPr>
        <xdr:cNvCxnSpPr/>
      </xdr:nvCxnSpPr>
      <xdr:spPr>
        <a:xfrm>
          <a:off x="2444291" y="1166439"/>
          <a:ext cx="0" cy="361678"/>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xdr:col>
      <xdr:colOff>482589</xdr:colOff>
      <xdr:row>7</xdr:row>
      <xdr:rowOff>184353</xdr:rowOff>
    </xdr:from>
    <xdr:to>
      <xdr:col>3</xdr:col>
      <xdr:colOff>159789</xdr:colOff>
      <xdr:row>7</xdr:row>
      <xdr:rowOff>184353</xdr:rowOff>
    </xdr:to>
    <xdr:cxnSp macro="">
      <xdr:nvCxnSpPr>
        <xdr:cNvPr id="12" name="Connecteur droit avec flèche 11">
          <a:extLst>
            <a:ext uri="{FF2B5EF4-FFF2-40B4-BE49-F238E27FC236}">
              <a16:creationId xmlns:a16="http://schemas.microsoft.com/office/drawing/2014/main" id="{00000000-0008-0000-0B00-00000C000000}"/>
            </a:ext>
          </a:extLst>
        </xdr:cNvPr>
        <xdr:cNvCxnSpPr/>
      </xdr:nvCxnSpPr>
      <xdr:spPr>
        <a:xfrm flipV="1">
          <a:off x="2006589" y="1517853"/>
          <a:ext cx="439200" cy="0"/>
        </a:xfrm>
        <a:prstGeom prst="straightConnector1">
          <a:avLst/>
        </a:prstGeom>
        <a:ln w="12700">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xdr:col>
      <xdr:colOff>368545</xdr:colOff>
      <xdr:row>7</xdr:row>
      <xdr:rowOff>52066</xdr:rowOff>
    </xdr:from>
    <xdr:to>
      <xdr:col>1</xdr:col>
      <xdr:colOff>544390</xdr:colOff>
      <xdr:row>7</xdr:row>
      <xdr:rowOff>131566</xdr:rowOff>
    </xdr:to>
    <xdr:cxnSp macro="">
      <xdr:nvCxnSpPr>
        <xdr:cNvPr id="13" name="Connecteur droit 12">
          <a:extLst>
            <a:ext uri="{FF2B5EF4-FFF2-40B4-BE49-F238E27FC236}">
              <a16:creationId xmlns:a16="http://schemas.microsoft.com/office/drawing/2014/main" id="{00000000-0008-0000-0B00-00000D000000}"/>
            </a:ext>
          </a:extLst>
        </xdr:cNvPr>
        <xdr:cNvCxnSpPr/>
      </xdr:nvCxnSpPr>
      <xdr:spPr>
        <a:xfrm flipH="1">
          <a:off x="1130545" y="1385566"/>
          <a:ext cx="175845" cy="7950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xdr:col>
      <xdr:colOff>368544</xdr:colOff>
      <xdr:row>7</xdr:row>
      <xdr:rowOff>125679</xdr:rowOff>
    </xdr:from>
    <xdr:to>
      <xdr:col>1</xdr:col>
      <xdr:colOff>368544</xdr:colOff>
      <xdr:row>8</xdr:row>
      <xdr:rowOff>7515</xdr:rowOff>
    </xdr:to>
    <xdr:cxnSp macro="">
      <xdr:nvCxnSpPr>
        <xdr:cNvPr id="14" name="Connecteur droit 13">
          <a:extLst>
            <a:ext uri="{FF2B5EF4-FFF2-40B4-BE49-F238E27FC236}">
              <a16:creationId xmlns:a16="http://schemas.microsoft.com/office/drawing/2014/main" id="{00000000-0008-0000-0B00-00000E000000}"/>
            </a:ext>
          </a:extLst>
        </xdr:cNvPr>
        <xdr:cNvCxnSpPr/>
      </xdr:nvCxnSpPr>
      <xdr:spPr>
        <a:xfrm>
          <a:off x="1130544" y="1459179"/>
          <a:ext cx="0" cy="72336"/>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xdr:col>
      <xdr:colOff>673344</xdr:colOff>
      <xdr:row>7</xdr:row>
      <xdr:rowOff>52066</xdr:rowOff>
    </xdr:from>
    <xdr:to>
      <xdr:col>2</xdr:col>
      <xdr:colOff>69606</xdr:colOff>
      <xdr:row>7</xdr:row>
      <xdr:rowOff>122732</xdr:rowOff>
    </xdr:to>
    <xdr:cxnSp macro="">
      <xdr:nvCxnSpPr>
        <xdr:cNvPr id="15" name="Connecteur droit 14">
          <a:extLst>
            <a:ext uri="{FF2B5EF4-FFF2-40B4-BE49-F238E27FC236}">
              <a16:creationId xmlns:a16="http://schemas.microsoft.com/office/drawing/2014/main" id="{00000000-0008-0000-0B00-00000F000000}"/>
            </a:ext>
          </a:extLst>
        </xdr:cNvPr>
        <xdr:cNvCxnSpPr/>
      </xdr:nvCxnSpPr>
      <xdr:spPr>
        <a:xfrm>
          <a:off x="1435344" y="1385566"/>
          <a:ext cx="158262" cy="70666"/>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xdr:col>
      <xdr:colOff>69605</xdr:colOff>
      <xdr:row>7</xdr:row>
      <xdr:rowOff>122733</xdr:rowOff>
    </xdr:from>
    <xdr:to>
      <xdr:col>2</xdr:col>
      <xdr:colOff>69605</xdr:colOff>
      <xdr:row>8</xdr:row>
      <xdr:rowOff>4569</xdr:rowOff>
    </xdr:to>
    <xdr:cxnSp macro="">
      <xdr:nvCxnSpPr>
        <xdr:cNvPr id="16" name="Connecteur droit 15">
          <a:extLst>
            <a:ext uri="{FF2B5EF4-FFF2-40B4-BE49-F238E27FC236}">
              <a16:creationId xmlns:a16="http://schemas.microsoft.com/office/drawing/2014/main" id="{00000000-0008-0000-0B00-000010000000}"/>
            </a:ext>
          </a:extLst>
        </xdr:cNvPr>
        <xdr:cNvCxnSpPr/>
      </xdr:nvCxnSpPr>
      <xdr:spPr>
        <a:xfrm>
          <a:off x="1593605" y="1456233"/>
          <a:ext cx="0" cy="72336"/>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xdr:col>
      <xdr:colOff>438150</xdr:colOff>
      <xdr:row>7</xdr:row>
      <xdr:rowOff>157329</xdr:rowOff>
    </xdr:from>
    <xdr:to>
      <xdr:col>2</xdr:col>
      <xdr:colOff>19050</xdr:colOff>
      <xdr:row>9</xdr:row>
      <xdr:rowOff>82550</xdr:rowOff>
    </xdr:to>
    <xdr:sp macro="" textlink="">
      <xdr:nvSpPr>
        <xdr:cNvPr id="4" name="ZoneTexte 3">
          <a:extLst>
            <a:ext uri="{FF2B5EF4-FFF2-40B4-BE49-F238E27FC236}">
              <a16:creationId xmlns:a16="http://schemas.microsoft.com/office/drawing/2014/main" id="{00000000-0008-0000-0B00-000004000000}"/>
            </a:ext>
          </a:extLst>
        </xdr:cNvPr>
        <xdr:cNvSpPr txBox="1"/>
      </xdr:nvSpPr>
      <xdr:spPr>
        <a:xfrm>
          <a:off x="1200150" y="1490829"/>
          <a:ext cx="342900" cy="306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S</a:t>
          </a:r>
        </a:p>
      </xdr:txBody>
    </xdr:sp>
    <xdr:clientData/>
  </xdr:twoCellAnchor>
  <xdr:twoCellAnchor editAs="absolute">
    <xdr:from>
      <xdr:col>2</xdr:col>
      <xdr:colOff>533400</xdr:colOff>
      <xdr:row>7</xdr:row>
      <xdr:rowOff>157329</xdr:rowOff>
    </xdr:from>
    <xdr:to>
      <xdr:col>3</xdr:col>
      <xdr:colOff>114300</xdr:colOff>
      <xdr:row>9</xdr:row>
      <xdr:rowOff>82550</xdr:rowOff>
    </xdr:to>
    <xdr:sp macro="" textlink="">
      <xdr:nvSpPr>
        <xdr:cNvPr id="5" name="ZoneTexte 4">
          <a:extLst>
            <a:ext uri="{FF2B5EF4-FFF2-40B4-BE49-F238E27FC236}">
              <a16:creationId xmlns:a16="http://schemas.microsoft.com/office/drawing/2014/main" id="{00000000-0008-0000-0B00-000005000000}"/>
            </a:ext>
          </a:extLst>
        </xdr:cNvPr>
        <xdr:cNvSpPr txBox="1"/>
      </xdr:nvSpPr>
      <xdr:spPr>
        <a:xfrm>
          <a:off x="2057400" y="1490829"/>
          <a:ext cx="342900" cy="306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t>W</a:t>
          </a:r>
        </a:p>
      </xdr:txBody>
    </xdr:sp>
    <xdr:clientData/>
  </xdr:twoCellAnchor>
  <xdr:twoCellAnchor>
    <xdr:from>
      <xdr:col>3</xdr:col>
      <xdr:colOff>33226</xdr:colOff>
      <xdr:row>17</xdr:row>
      <xdr:rowOff>49172</xdr:rowOff>
    </xdr:from>
    <xdr:to>
      <xdr:col>3</xdr:col>
      <xdr:colOff>435311</xdr:colOff>
      <xdr:row>18</xdr:row>
      <xdr:rowOff>183933</xdr:rowOff>
    </xdr:to>
    <xdr:grpSp>
      <xdr:nvGrpSpPr>
        <xdr:cNvPr id="2" name="Groupe 1">
          <a:extLst>
            <a:ext uri="{FF2B5EF4-FFF2-40B4-BE49-F238E27FC236}">
              <a16:creationId xmlns:a16="http://schemas.microsoft.com/office/drawing/2014/main" id="{00000000-0008-0000-0B00-000002000000}"/>
            </a:ext>
          </a:extLst>
        </xdr:cNvPr>
        <xdr:cNvGrpSpPr/>
      </xdr:nvGrpSpPr>
      <xdr:grpSpPr>
        <a:xfrm>
          <a:off x="2319226" y="3287672"/>
          <a:ext cx="402085" cy="325261"/>
          <a:chOff x="2319226" y="3287672"/>
          <a:chExt cx="402085" cy="325261"/>
        </a:xfrm>
      </xdr:grpSpPr>
      <xdr:sp macro="" textlink="">
        <xdr:nvSpPr>
          <xdr:cNvPr id="147" name="Ellipse 146">
            <a:extLst>
              <a:ext uri="{FF2B5EF4-FFF2-40B4-BE49-F238E27FC236}">
                <a16:creationId xmlns:a16="http://schemas.microsoft.com/office/drawing/2014/main" id="{00000000-0008-0000-0B00-000093000000}"/>
              </a:ext>
            </a:extLst>
          </xdr:cNvPr>
          <xdr:cNvSpPr/>
        </xdr:nvSpPr>
        <xdr:spPr>
          <a:xfrm>
            <a:off x="2392569"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48" name="Ellipse 147">
            <a:extLst>
              <a:ext uri="{FF2B5EF4-FFF2-40B4-BE49-F238E27FC236}">
                <a16:creationId xmlns:a16="http://schemas.microsoft.com/office/drawing/2014/main" id="{00000000-0008-0000-0B00-000094000000}"/>
              </a:ext>
            </a:extLst>
          </xdr:cNvPr>
          <xdr:cNvSpPr/>
        </xdr:nvSpPr>
        <xdr:spPr>
          <a:xfrm>
            <a:off x="2465911"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49" name="Ellipse 148">
            <a:extLst>
              <a:ext uri="{FF2B5EF4-FFF2-40B4-BE49-F238E27FC236}">
                <a16:creationId xmlns:a16="http://schemas.microsoft.com/office/drawing/2014/main" id="{00000000-0008-0000-0B00-000095000000}"/>
              </a:ext>
            </a:extLst>
          </xdr:cNvPr>
          <xdr:cNvSpPr/>
        </xdr:nvSpPr>
        <xdr:spPr>
          <a:xfrm>
            <a:off x="2319226"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50" name="Ellipse 149">
            <a:extLst>
              <a:ext uri="{FF2B5EF4-FFF2-40B4-BE49-F238E27FC236}">
                <a16:creationId xmlns:a16="http://schemas.microsoft.com/office/drawing/2014/main" id="{00000000-0008-0000-0B00-000096000000}"/>
              </a:ext>
            </a:extLst>
          </xdr:cNvPr>
          <xdr:cNvSpPr/>
        </xdr:nvSpPr>
        <xdr:spPr>
          <a:xfrm>
            <a:off x="2428764"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51" name="Ellipse 150">
            <a:extLst>
              <a:ext uri="{FF2B5EF4-FFF2-40B4-BE49-F238E27FC236}">
                <a16:creationId xmlns:a16="http://schemas.microsoft.com/office/drawing/2014/main" id="{00000000-0008-0000-0B00-000097000000}"/>
              </a:ext>
            </a:extLst>
          </xdr:cNvPr>
          <xdr:cNvSpPr/>
        </xdr:nvSpPr>
        <xdr:spPr>
          <a:xfrm>
            <a:off x="2502106"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52" name="Ellipse 151">
            <a:extLst>
              <a:ext uri="{FF2B5EF4-FFF2-40B4-BE49-F238E27FC236}">
                <a16:creationId xmlns:a16="http://schemas.microsoft.com/office/drawing/2014/main" id="{00000000-0008-0000-0B00-000098000000}"/>
              </a:ext>
            </a:extLst>
          </xdr:cNvPr>
          <xdr:cNvSpPr/>
        </xdr:nvSpPr>
        <xdr:spPr>
          <a:xfrm>
            <a:off x="2355421"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53" name="Ellipse 152">
            <a:extLst>
              <a:ext uri="{FF2B5EF4-FFF2-40B4-BE49-F238E27FC236}">
                <a16:creationId xmlns:a16="http://schemas.microsoft.com/office/drawing/2014/main" id="{00000000-0008-0000-0B00-000099000000}"/>
              </a:ext>
            </a:extLst>
          </xdr:cNvPr>
          <xdr:cNvSpPr/>
        </xdr:nvSpPr>
        <xdr:spPr>
          <a:xfrm>
            <a:off x="2393521"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54" name="Ellipse 153">
            <a:extLst>
              <a:ext uri="{FF2B5EF4-FFF2-40B4-BE49-F238E27FC236}">
                <a16:creationId xmlns:a16="http://schemas.microsoft.com/office/drawing/2014/main" id="{00000000-0008-0000-0B00-00009A000000}"/>
              </a:ext>
            </a:extLst>
          </xdr:cNvPr>
          <xdr:cNvSpPr/>
        </xdr:nvSpPr>
        <xdr:spPr>
          <a:xfrm>
            <a:off x="2466864"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55" name="Ellipse 154">
            <a:extLst>
              <a:ext uri="{FF2B5EF4-FFF2-40B4-BE49-F238E27FC236}">
                <a16:creationId xmlns:a16="http://schemas.microsoft.com/office/drawing/2014/main" id="{00000000-0008-0000-0B00-00009B000000}"/>
              </a:ext>
            </a:extLst>
          </xdr:cNvPr>
          <xdr:cNvSpPr/>
        </xdr:nvSpPr>
        <xdr:spPr>
          <a:xfrm>
            <a:off x="2429716"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56" name="Ellipse 155">
            <a:extLst>
              <a:ext uri="{FF2B5EF4-FFF2-40B4-BE49-F238E27FC236}">
                <a16:creationId xmlns:a16="http://schemas.microsoft.com/office/drawing/2014/main" id="{00000000-0008-0000-0B00-00009C000000}"/>
              </a:ext>
            </a:extLst>
          </xdr:cNvPr>
          <xdr:cNvSpPr/>
        </xdr:nvSpPr>
        <xdr:spPr>
          <a:xfrm>
            <a:off x="2502626"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57" name="Ellipse 156">
            <a:extLst>
              <a:ext uri="{FF2B5EF4-FFF2-40B4-BE49-F238E27FC236}">
                <a16:creationId xmlns:a16="http://schemas.microsoft.com/office/drawing/2014/main" id="{00000000-0008-0000-0B00-00009D000000}"/>
              </a:ext>
            </a:extLst>
          </xdr:cNvPr>
          <xdr:cNvSpPr/>
        </xdr:nvSpPr>
        <xdr:spPr>
          <a:xfrm>
            <a:off x="2356374"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58" name="Ellipse 157">
            <a:extLst>
              <a:ext uri="{FF2B5EF4-FFF2-40B4-BE49-F238E27FC236}">
                <a16:creationId xmlns:a16="http://schemas.microsoft.com/office/drawing/2014/main" id="{00000000-0008-0000-0B00-00009E000000}"/>
              </a:ext>
            </a:extLst>
          </xdr:cNvPr>
          <xdr:cNvSpPr/>
        </xdr:nvSpPr>
        <xdr:spPr>
          <a:xfrm>
            <a:off x="2612163"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59" name="Ellipse 158">
            <a:extLst>
              <a:ext uri="{FF2B5EF4-FFF2-40B4-BE49-F238E27FC236}">
                <a16:creationId xmlns:a16="http://schemas.microsoft.com/office/drawing/2014/main" id="{00000000-0008-0000-0B00-00009F000000}"/>
              </a:ext>
            </a:extLst>
          </xdr:cNvPr>
          <xdr:cNvSpPr/>
        </xdr:nvSpPr>
        <xdr:spPr>
          <a:xfrm>
            <a:off x="2322014" y="3540597"/>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60" name="Ellipse 159">
            <a:extLst>
              <a:ext uri="{FF2B5EF4-FFF2-40B4-BE49-F238E27FC236}">
                <a16:creationId xmlns:a16="http://schemas.microsoft.com/office/drawing/2014/main" id="{00000000-0008-0000-0B00-0000A0000000}"/>
              </a:ext>
            </a:extLst>
          </xdr:cNvPr>
          <xdr:cNvSpPr/>
        </xdr:nvSpPr>
        <xdr:spPr>
          <a:xfrm>
            <a:off x="2539254"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61" name="Ellipse 160">
            <a:extLst>
              <a:ext uri="{FF2B5EF4-FFF2-40B4-BE49-F238E27FC236}">
                <a16:creationId xmlns:a16="http://schemas.microsoft.com/office/drawing/2014/main" id="{00000000-0008-0000-0B00-0000A1000000}"/>
              </a:ext>
            </a:extLst>
          </xdr:cNvPr>
          <xdr:cNvSpPr/>
        </xdr:nvSpPr>
        <xdr:spPr>
          <a:xfrm>
            <a:off x="2648791"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62" name="Ellipse 161">
            <a:extLst>
              <a:ext uri="{FF2B5EF4-FFF2-40B4-BE49-F238E27FC236}">
                <a16:creationId xmlns:a16="http://schemas.microsoft.com/office/drawing/2014/main" id="{00000000-0008-0000-0B00-0000A2000000}"/>
              </a:ext>
            </a:extLst>
          </xdr:cNvPr>
          <xdr:cNvSpPr/>
        </xdr:nvSpPr>
        <xdr:spPr>
          <a:xfrm>
            <a:off x="2575449"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63" name="Ellipse 162">
            <a:extLst>
              <a:ext uri="{FF2B5EF4-FFF2-40B4-BE49-F238E27FC236}">
                <a16:creationId xmlns:a16="http://schemas.microsoft.com/office/drawing/2014/main" id="{00000000-0008-0000-0B00-0000A3000000}"/>
              </a:ext>
            </a:extLst>
          </xdr:cNvPr>
          <xdr:cNvSpPr/>
        </xdr:nvSpPr>
        <xdr:spPr>
          <a:xfrm>
            <a:off x="2613549"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64" name="Ellipse 163">
            <a:extLst>
              <a:ext uri="{FF2B5EF4-FFF2-40B4-BE49-F238E27FC236}">
                <a16:creationId xmlns:a16="http://schemas.microsoft.com/office/drawing/2014/main" id="{00000000-0008-0000-0B00-0000A4000000}"/>
              </a:ext>
            </a:extLst>
          </xdr:cNvPr>
          <xdr:cNvSpPr/>
        </xdr:nvSpPr>
        <xdr:spPr>
          <a:xfrm>
            <a:off x="2540206"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65" name="Ellipse 164">
            <a:extLst>
              <a:ext uri="{FF2B5EF4-FFF2-40B4-BE49-F238E27FC236}">
                <a16:creationId xmlns:a16="http://schemas.microsoft.com/office/drawing/2014/main" id="{00000000-0008-0000-0B00-0000A5000000}"/>
              </a:ext>
            </a:extLst>
          </xdr:cNvPr>
          <xdr:cNvSpPr/>
        </xdr:nvSpPr>
        <xdr:spPr>
          <a:xfrm>
            <a:off x="2649311"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66" name="Ellipse 165">
            <a:extLst>
              <a:ext uri="{FF2B5EF4-FFF2-40B4-BE49-F238E27FC236}">
                <a16:creationId xmlns:a16="http://schemas.microsoft.com/office/drawing/2014/main" id="{00000000-0008-0000-0B00-0000A6000000}"/>
              </a:ext>
            </a:extLst>
          </xdr:cNvPr>
          <xdr:cNvSpPr/>
        </xdr:nvSpPr>
        <xdr:spPr>
          <a:xfrm>
            <a:off x="2575968"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67" name="Ellipse 166">
            <a:extLst>
              <a:ext uri="{FF2B5EF4-FFF2-40B4-BE49-F238E27FC236}">
                <a16:creationId xmlns:a16="http://schemas.microsoft.com/office/drawing/2014/main" id="{00000000-0008-0000-0B00-0000A7000000}"/>
              </a:ext>
            </a:extLst>
          </xdr:cNvPr>
          <xdr:cNvSpPr/>
        </xdr:nvSpPr>
        <xdr:spPr>
          <a:xfrm>
            <a:off x="2392807"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68" name="Ellipse 167">
            <a:extLst>
              <a:ext uri="{FF2B5EF4-FFF2-40B4-BE49-F238E27FC236}">
                <a16:creationId xmlns:a16="http://schemas.microsoft.com/office/drawing/2014/main" id="{00000000-0008-0000-0B00-0000A8000000}"/>
              </a:ext>
            </a:extLst>
          </xdr:cNvPr>
          <xdr:cNvSpPr/>
        </xdr:nvSpPr>
        <xdr:spPr>
          <a:xfrm>
            <a:off x="2466150"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69" name="Ellipse 168">
            <a:extLst>
              <a:ext uri="{FF2B5EF4-FFF2-40B4-BE49-F238E27FC236}">
                <a16:creationId xmlns:a16="http://schemas.microsoft.com/office/drawing/2014/main" id="{00000000-0008-0000-0B00-0000A9000000}"/>
              </a:ext>
            </a:extLst>
          </xdr:cNvPr>
          <xdr:cNvSpPr/>
        </xdr:nvSpPr>
        <xdr:spPr>
          <a:xfrm>
            <a:off x="2612835"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70" name="Ellipse 169">
            <a:extLst>
              <a:ext uri="{FF2B5EF4-FFF2-40B4-BE49-F238E27FC236}">
                <a16:creationId xmlns:a16="http://schemas.microsoft.com/office/drawing/2014/main" id="{00000000-0008-0000-0B00-0000AA000000}"/>
              </a:ext>
            </a:extLst>
          </xdr:cNvPr>
          <xdr:cNvSpPr/>
        </xdr:nvSpPr>
        <xdr:spPr>
          <a:xfrm>
            <a:off x="2539492"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xdr:from>
      <xdr:col>9</xdr:col>
      <xdr:colOff>104775</xdr:colOff>
      <xdr:row>4</xdr:row>
      <xdr:rowOff>71437</xdr:rowOff>
    </xdr:from>
    <xdr:to>
      <xdr:col>15</xdr:col>
      <xdr:colOff>104775</xdr:colOff>
      <xdr:row>18</xdr:row>
      <xdr:rowOff>147637</xdr:rowOff>
    </xdr:to>
    <xdr:graphicFrame macro="">
      <xdr:nvGraphicFramePr>
        <xdr:cNvPr id="171" name="Graphique 170">
          <a:extLst>
            <a:ext uri="{FF2B5EF4-FFF2-40B4-BE49-F238E27FC236}">
              <a16:creationId xmlns:a16="http://schemas.microsoft.com/office/drawing/2014/main" id="{00000000-0008-0000-0B00-0000A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33226</xdr:colOff>
      <xdr:row>17</xdr:row>
      <xdr:rowOff>49172</xdr:rowOff>
    </xdr:from>
    <xdr:to>
      <xdr:col>4</xdr:col>
      <xdr:colOff>435311</xdr:colOff>
      <xdr:row>18</xdr:row>
      <xdr:rowOff>183933</xdr:rowOff>
    </xdr:to>
    <xdr:grpSp>
      <xdr:nvGrpSpPr>
        <xdr:cNvPr id="172" name="Groupe 171">
          <a:extLst>
            <a:ext uri="{FF2B5EF4-FFF2-40B4-BE49-F238E27FC236}">
              <a16:creationId xmlns:a16="http://schemas.microsoft.com/office/drawing/2014/main" id="{00000000-0008-0000-0B00-0000AC000000}"/>
            </a:ext>
          </a:extLst>
        </xdr:cNvPr>
        <xdr:cNvGrpSpPr/>
      </xdr:nvGrpSpPr>
      <xdr:grpSpPr>
        <a:xfrm>
          <a:off x="3081226" y="3287672"/>
          <a:ext cx="402085" cy="325261"/>
          <a:chOff x="2319226" y="3287672"/>
          <a:chExt cx="402085" cy="325261"/>
        </a:xfrm>
      </xdr:grpSpPr>
      <xdr:sp macro="" textlink="">
        <xdr:nvSpPr>
          <xdr:cNvPr id="173" name="Ellipse 172">
            <a:extLst>
              <a:ext uri="{FF2B5EF4-FFF2-40B4-BE49-F238E27FC236}">
                <a16:creationId xmlns:a16="http://schemas.microsoft.com/office/drawing/2014/main" id="{00000000-0008-0000-0B00-0000AD000000}"/>
              </a:ext>
            </a:extLst>
          </xdr:cNvPr>
          <xdr:cNvSpPr/>
        </xdr:nvSpPr>
        <xdr:spPr>
          <a:xfrm>
            <a:off x="2392569"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74" name="Ellipse 173">
            <a:extLst>
              <a:ext uri="{FF2B5EF4-FFF2-40B4-BE49-F238E27FC236}">
                <a16:creationId xmlns:a16="http://schemas.microsoft.com/office/drawing/2014/main" id="{00000000-0008-0000-0B00-0000AE000000}"/>
              </a:ext>
            </a:extLst>
          </xdr:cNvPr>
          <xdr:cNvSpPr/>
        </xdr:nvSpPr>
        <xdr:spPr>
          <a:xfrm>
            <a:off x="2465911"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75" name="Ellipse 174">
            <a:extLst>
              <a:ext uri="{FF2B5EF4-FFF2-40B4-BE49-F238E27FC236}">
                <a16:creationId xmlns:a16="http://schemas.microsoft.com/office/drawing/2014/main" id="{00000000-0008-0000-0B00-0000AF000000}"/>
              </a:ext>
            </a:extLst>
          </xdr:cNvPr>
          <xdr:cNvSpPr/>
        </xdr:nvSpPr>
        <xdr:spPr>
          <a:xfrm>
            <a:off x="2319226"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76" name="Ellipse 175">
            <a:extLst>
              <a:ext uri="{FF2B5EF4-FFF2-40B4-BE49-F238E27FC236}">
                <a16:creationId xmlns:a16="http://schemas.microsoft.com/office/drawing/2014/main" id="{00000000-0008-0000-0B00-0000B0000000}"/>
              </a:ext>
            </a:extLst>
          </xdr:cNvPr>
          <xdr:cNvSpPr/>
        </xdr:nvSpPr>
        <xdr:spPr>
          <a:xfrm>
            <a:off x="2428764"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77" name="Ellipse 176">
            <a:extLst>
              <a:ext uri="{FF2B5EF4-FFF2-40B4-BE49-F238E27FC236}">
                <a16:creationId xmlns:a16="http://schemas.microsoft.com/office/drawing/2014/main" id="{00000000-0008-0000-0B00-0000B1000000}"/>
              </a:ext>
            </a:extLst>
          </xdr:cNvPr>
          <xdr:cNvSpPr/>
        </xdr:nvSpPr>
        <xdr:spPr>
          <a:xfrm>
            <a:off x="2502106"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78" name="Ellipse 177">
            <a:extLst>
              <a:ext uri="{FF2B5EF4-FFF2-40B4-BE49-F238E27FC236}">
                <a16:creationId xmlns:a16="http://schemas.microsoft.com/office/drawing/2014/main" id="{00000000-0008-0000-0B00-0000B2000000}"/>
              </a:ext>
            </a:extLst>
          </xdr:cNvPr>
          <xdr:cNvSpPr/>
        </xdr:nvSpPr>
        <xdr:spPr>
          <a:xfrm>
            <a:off x="2355421"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79" name="Ellipse 178">
            <a:extLst>
              <a:ext uri="{FF2B5EF4-FFF2-40B4-BE49-F238E27FC236}">
                <a16:creationId xmlns:a16="http://schemas.microsoft.com/office/drawing/2014/main" id="{00000000-0008-0000-0B00-0000B3000000}"/>
              </a:ext>
            </a:extLst>
          </xdr:cNvPr>
          <xdr:cNvSpPr/>
        </xdr:nvSpPr>
        <xdr:spPr>
          <a:xfrm>
            <a:off x="2393521"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80" name="Ellipse 179">
            <a:extLst>
              <a:ext uri="{FF2B5EF4-FFF2-40B4-BE49-F238E27FC236}">
                <a16:creationId xmlns:a16="http://schemas.microsoft.com/office/drawing/2014/main" id="{00000000-0008-0000-0B00-0000B4000000}"/>
              </a:ext>
            </a:extLst>
          </xdr:cNvPr>
          <xdr:cNvSpPr/>
        </xdr:nvSpPr>
        <xdr:spPr>
          <a:xfrm>
            <a:off x="2466864"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81" name="Ellipse 180">
            <a:extLst>
              <a:ext uri="{FF2B5EF4-FFF2-40B4-BE49-F238E27FC236}">
                <a16:creationId xmlns:a16="http://schemas.microsoft.com/office/drawing/2014/main" id="{00000000-0008-0000-0B00-0000B5000000}"/>
              </a:ext>
            </a:extLst>
          </xdr:cNvPr>
          <xdr:cNvSpPr/>
        </xdr:nvSpPr>
        <xdr:spPr>
          <a:xfrm>
            <a:off x="2429716"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82" name="Ellipse 181">
            <a:extLst>
              <a:ext uri="{FF2B5EF4-FFF2-40B4-BE49-F238E27FC236}">
                <a16:creationId xmlns:a16="http://schemas.microsoft.com/office/drawing/2014/main" id="{00000000-0008-0000-0B00-0000B6000000}"/>
              </a:ext>
            </a:extLst>
          </xdr:cNvPr>
          <xdr:cNvSpPr/>
        </xdr:nvSpPr>
        <xdr:spPr>
          <a:xfrm>
            <a:off x="2502626"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83" name="Ellipse 182">
            <a:extLst>
              <a:ext uri="{FF2B5EF4-FFF2-40B4-BE49-F238E27FC236}">
                <a16:creationId xmlns:a16="http://schemas.microsoft.com/office/drawing/2014/main" id="{00000000-0008-0000-0B00-0000B7000000}"/>
              </a:ext>
            </a:extLst>
          </xdr:cNvPr>
          <xdr:cNvSpPr/>
        </xdr:nvSpPr>
        <xdr:spPr>
          <a:xfrm>
            <a:off x="2356374"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84" name="Ellipse 183">
            <a:extLst>
              <a:ext uri="{FF2B5EF4-FFF2-40B4-BE49-F238E27FC236}">
                <a16:creationId xmlns:a16="http://schemas.microsoft.com/office/drawing/2014/main" id="{00000000-0008-0000-0B00-0000B8000000}"/>
              </a:ext>
            </a:extLst>
          </xdr:cNvPr>
          <xdr:cNvSpPr/>
        </xdr:nvSpPr>
        <xdr:spPr>
          <a:xfrm>
            <a:off x="2612163"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85" name="Ellipse 184">
            <a:extLst>
              <a:ext uri="{FF2B5EF4-FFF2-40B4-BE49-F238E27FC236}">
                <a16:creationId xmlns:a16="http://schemas.microsoft.com/office/drawing/2014/main" id="{00000000-0008-0000-0B00-0000B9000000}"/>
              </a:ext>
            </a:extLst>
          </xdr:cNvPr>
          <xdr:cNvSpPr/>
        </xdr:nvSpPr>
        <xdr:spPr>
          <a:xfrm>
            <a:off x="2322014" y="3540597"/>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86" name="Ellipse 185">
            <a:extLst>
              <a:ext uri="{FF2B5EF4-FFF2-40B4-BE49-F238E27FC236}">
                <a16:creationId xmlns:a16="http://schemas.microsoft.com/office/drawing/2014/main" id="{00000000-0008-0000-0B00-0000BA000000}"/>
              </a:ext>
            </a:extLst>
          </xdr:cNvPr>
          <xdr:cNvSpPr/>
        </xdr:nvSpPr>
        <xdr:spPr>
          <a:xfrm>
            <a:off x="2539254"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87" name="Ellipse 186">
            <a:extLst>
              <a:ext uri="{FF2B5EF4-FFF2-40B4-BE49-F238E27FC236}">
                <a16:creationId xmlns:a16="http://schemas.microsoft.com/office/drawing/2014/main" id="{00000000-0008-0000-0B00-0000BB000000}"/>
              </a:ext>
            </a:extLst>
          </xdr:cNvPr>
          <xdr:cNvSpPr/>
        </xdr:nvSpPr>
        <xdr:spPr>
          <a:xfrm>
            <a:off x="2648791"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88" name="Ellipse 187">
            <a:extLst>
              <a:ext uri="{FF2B5EF4-FFF2-40B4-BE49-F238E27FC236}">
                <a16:creationId xmlns:a16="http://schemas.microsoft.com/office/drawing/2014/main" id="{00000000-0008-0000-0B00-0000BC000000}"/>
              </a:ext>
            </a:extLst>
          </xdr:cNvPr>
          <xdr:cNvSpPr/>
        </xdr:nvSpPr>
        <xdr:spPr>
          <a:xfrm>
            <a:off x="2575449"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89" name="Ellipse 188">
            <a:extLst>
              <a:ext uri="{FF2B5EF4-FFF2-40B4-BE49-F238E27FC236}">
                <a16:creationId xmlns:a16="http://schemas.microsoft.com/office/drawing/2014/main" id="{00000000-0008-0000-0B00-0000BD000000}"/>
              </a:ext>
            </a:extLst>
          </xdr:cNvPr>
          <xdr:cNvSpPr/>
        </xdr:nvSpPr>
        <xdr:spPr>
          <a:xfrm>
            <a:off x="2613549"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90" name="Ellipse 189">
            <a:extLst>
              <a:ext uri="{FF2B5EF4-FFF2-40B4-BE49-F238E27FC236}">
                <a16:creationId xmlns:a16="http://schemas.microsoft.com/office/drawing/2014/main" id="{00000000-0008-0000-0B00-0000BE000000}"/>
              </a:ext>
            </a:extLst>
          </xdr:cNvPr>
          <xdr:cNvSpPr/>
        </xdr:nvSpPr>
        <xdr:spPr>
          <a:xfrm>
            <a:off x="2540206"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91" name="Ellipse 190">
            <a:extLst>
              <a:ext uri="{FF2B5EF4-FFF2-40B4-BE49-F238E27FC236}">
                <a16:creationId xmlns:a16="http://schemas.microsoft.com/office/drawing/2014/main" id="{00000000-0008-0000-0B00-0000BF000000}"/>
              </a:ext>
            </a:extLst>
          </xdr:cNvPr>
          <xdr:cNvSpPr/>
        </xdr:nvSpPr>
        <xdr:spPr>
          <a:xfrm>
            <a:off x="2649311"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92" name="Ellipse 191">
            <a:extLst>
              <a:ext uri="{FF2B5EF4-FFF2-40B4-BE49-F238E27FC236}">
                <a16:creationId xmlns:a16="http://schemas.microsoft.com/office/drawing/2014/main" id="{00000000-0008-0000-0B00-0000C0000000}"/>
              </a:ext>
            </a:extLst>
          </xdr:cNvPr>
          <xdr:cNvSpPr/>
        </xdr:nvSpPr>
        <xdr:spPr>
          <a:xfrm>
            <a:off x="2575968"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93" name="Ellipse 192">
            <a:extLst>
              <a:ext uri="{FF2B5EF4-FFF2-40B4-BE49-F238E27FC236}">
                <a16:creationId xmlns:a16="http://schemas.microsoft.com/office/drawing/2014/main" id="{00000000-0008-0000-0B00-0000C1000000}"/>
              </a:ext>
            </a:extLst>
          </xdr:cNvPr>
          <xdr:cNvSpPr/>
        </xdr:nvSpPr>
        <xdr:spPr>
          <a:xfrm>
            <a:off x="2392807"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94" name="Ellipse 193">
            <a:extLst>
              <a:ext uri="{FF2B5EF4-FFF2-40B4-BE49-F238E27FC236}">
                <a16:creationId xmlns:a16="http://schemas.microsoft.com/office/drawing/2014/main" id="{00000000-0008-0000-0B00-0000C2000000}"/>
              </a:ext>
            </a:extLst>
          </xdr:cNvPr>
          <xdr:cNvSpPr/>
        </xdr:nvSpPr>
        <xdr:spPr>
          <a:xfrm>
            <a:off x="2466150"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95" name="Ellipse 194">
            <a:extLst>
              <a:ext uri="{FF2B5EF4-FFF2-40B4-BE49-F238E27FC236}">
                <a16:creationId xmlns:a16="http://schemas.microsoft.com/office/drawing/2014/main" id="{00000000-0008-0000-0B00-0000C3000000}"/>
              </a:ext>
            </a:extLst>
          </xdr:cNvPr>
          <xdr:cNvSpPr/>
        </xdr:nvSpPr>
        <xdr:spPr>
          <a:xfrm>
            <a:off x="2612835"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96" name="Ellipse 195">
            <a:extLst>
              <a:ext uri="{FF2B5EF4-FFF2-40B4-BE49-F238E27FC236}">
                <a16:creationId xmlns:a16="http://schemas.microsoft.com/office/drawing/2014/main" id="{00000000-0008-0000-0B00-0000C4000000}"/>
              </a:ext>
            </a:extLst>
          </xdr:cNvPr>
          <xdr:cNvSpPr/>
        </xdr:nvSpPr>
        <xdr:spPr>
          <a:xfrm>
            <a:off x="2539492"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editAs="absolute">
    <xdr:from>
      <xdr:col>4</xdr:col>
      <xdr:colOff>404701</xdr:colOff>
      <xdr:row>17</xdr:row>
      <xdr:rowOff>49172</xdr:rowOff>
    </xdr:from>
    <xdr:to>
      <xdr:col>4</xdr:col>
      <xdr:colOff>806786</xdr:colOff>
      <xdr:row>18</xdr:row>
      <xdr:rowOff>183933</xdr:rowOff>
    </xdr:to>
    <xdr:grpSp>
      <xdr:nvGrpSpPr>
        <xdr:cNvPr id="197" name="Groupe 196">
          <a:extLst>
            <a:ext uri="{FF2B5EF4-FFF2-40B4-BE49-F238E27FC236}">
              <a16:creationId xmlns:a16="http://schemas.microsoft.com/office/drawing/2014/main" id="{00000000-0008-0000-0B00-0000C5000000}"/>
            </a:ext>
          </a:extLst>
        </xdr:cNvPr>
        <xdr:cNvGrpSpPr/>
      </xdr:nvGrpSpPr>
      <xdr:grpSpPr>
        <a:xfrm>
          <a:off x="3452701" y="3287672"/>
          <a:ext cx="402085" cy="325261"/>
          <a:chOff x="2319226" y="3287672"/>
          <a:chExt cx="402085" cy="325261"/>
        </a:xfrm>
      </xdr:grpSpPr>
      <xdr:sp macro="" textlink="">
        <xdr:nvSpPr>
          <xdr:cNvPr id="198" name="Ellipse 197">
            <a:extLst>
              <a:ext uri="{FF2B5EF4-FFF2-40B4-BE49-F238E27FC236}">
                <a16:creationId xmlns:a16="http://schemas.microsoft.com/office/drawing/2014/main" id="{00000000-0008-0000-0B00-0000C6000000}"/>
              </a:ext>
            </a:extLst>
          </xdr:cNvPr>
          <xdr:cNvSpPr/>
        </xdr:nvSpPr>
        <xdr:spPr>
          <a:xfrm>
            <a:off x="2392569"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199" name="Ellipse 198">
            <a:extLst>
              <a:ext uri="{FF2B5EF4-FFF2-40B4-BE49-F238E27FC236}">
                <a16:creationId xmlns:a16="http://schemas.microsoft.com/office/drawing/2014/main" id="{00000000-0008-0000-0B00-0000C7000000}"/>
              </a:ext>
            </a:extLst>
          </xdr:cNvPr>
          <xdr:cNvSpPr/>
        </xdr:nvSpPr>
        <xdr:spPr>
          <a:xfrm>
            <a:off x="2465911"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00" name="Ellipse 199">
            <a:extLst>
              <a:ext uri="{FF2B5EF4-FFF2-40B4-BE49-F238E27FC236}">
                <a16:creationId xmlns:a16="http://schemas.microsoft.com/office/drawing/2014/main" id="{00000000-0008-0000-0B00-0000C8000000}"/>
              </a:ext>
            </a:extLst>
          </xdr:cNvPr>
          <xdr:cNvSpPr/>
        </xdr:nvSpPr>
        <xdr:spPr>
          <a:xfrm>
            <a:off x="2319226"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01" name="Ellipse 200">
            <a:extLst>
              <a:ext uri="{FF2B5EF4-FFF2-40B4-BE49-F238E27FC236}">
                <a16:creationId xmlns:a16="http://schemas.microsoft.com/office/drawing/2014/main" id="{00000000-0008-0000-0B00-0000C9000000}"/>
              </a:ext>
            </a:extLst>
          </xdr:cNvPr>
          <xdr:cNvSpPr/>
        </xdr:nvSpPr>
        <xdr:spPr>
          <a:xfrm>
            <a:off x="2428764"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02" name="Ellipse 201">
            <a:extLst>
              <a:ext uri="{FF2B5EF4-FFF2-40B4-BE49-F238E27FC236}">
                <a16:creationId xmlns:a16="http://schemas.microsoft.com/office/drawing/2014/main" id="{00000000-0008-0000-0B00-0000CA000000}"/>
              </a:ext>
            </a:extLst>
          </xdr:cNvPr>
          <xdr:cNvSpPr/>
        </xdr:nvSpPr>
        <xdr:spPr>
          <a:xfrm>
            <a:off x="2502106"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03" name="Ellipse 202">
            <a:extLst>
              <a:ext uri="{FF2B5EF4-FFF2-40B4-BE49-F238E27FC236}">
                <a16:creationId xmlns:a16="http://schemas.microsoft.com/office/drawing/2014/main" id="{00000000-0008-0000-0B00-0000CB000000}"/>
              </a:ext>
            </a:extLst>
          </xdr:cNvPr>
          <xdr:cNvSpPr/>
        </xdr:nvSpPr>
        <xdr:spPr>
          <a:xfrm>
            <a:off x="2355421"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04" name="Ellipse 203">
            <a:extLst>
              <a:ext uri="{FF2B5EF4-FFF2-40B4-BE49-F238E27FC236}">
                <a16:creationId xmlns:a16="http://schemas.microsoft.com/office/drawing/2014/main" id="{00000000-0008-0000-0B00-0000CC000000}"/>
              </a:ext>
            </a:extLst>
          </xdr:cNvPr>
          <xdr:cNvSpPr/>
        </xdr:nvSpPr>
        <xdr:spPr>
          <a:xfrm>
            <a:off x="2393521"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05" name="Ellipse 204">
            <a:extLst>
              <a:ext uri="{FF2B5EF4-FFF2-40B4-BE49-F238E27FC236}">
                <a16:creationId xmlns:a16="http://schemas.microsoft.com/office/drawing/2014/main" id="{00000000-0008-0000-0B00-0000CD000000}"/>
              </a:ext>
            </a:extLst>
          </xdr:cNvPr>
          <xdr:cNvSpPr/>
        </xdr:nvSpPr>
        <xdr:spPr>
          <a:xfrm>
            <a:off x="2466864"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06" name="Ellipse 205">
            <a:extLst>
              <a:ext uri="{FF2B5EF4-FFF2-40B4-BE49-F238E27FC236}">
                <a16:creationId xmlns:a16="http://schemas.microsoft.com/office/drawing/2014/main" id="{00000000-0008-0000-0B00-0000CE000000}"/>
              </a:ext>
            </a:extLst>
          </xdr:cNvPr>
          <xdr:cNvSpPr/>
        </xdr:nvSpPr>
        <xdr:spPr>
          <a:xfrm>
            <a:off x="2429716"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07" name="Ellipse 206">
            <a:extLst>
              <a:ext uri="{FF2B5EF4-FFF2-40B4-BE49-F238E27FC236}">
                <a16:creationId xmlns:a16="http://schemas.microsoft.com/office/drawing/2014/main" id="{00000000-0008-0000-0B00-0000CF000000}"/>
              </a:ext>
            </a:extLst>
          </xdr:cNvPr>
          <xdr:cNvSpPr/>
        </xdr:nvSpPr>
        <xdr:spPr>
          <a:xfrm>
            <a:off x="2502626"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08" name="Ellipse 207">
            <a:extLst>
              <a:ext uri="{FF2B5EF4-FFF2-40B4-BE49-F238E27FC236}">
                <a16:creationId xmlns:a16="http://schemas.microsoft.com/office/drawing/2014/main" id="{00000000-0008-0000-0B00-0000D0000000}"/>
              </a:ext>
            </a:extLst>
          </xdr:cNvPr>
          <xdr:cNvSpPr/>
        </xdr:nvSpPr>
        <xdr:spPr>
          <a:xfrm>
            <a:off x="2356374"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09" name="Ellipse 208">
            <a:extLst>
              <a:ext uri="{FF2B5EF4-FFF2-40B4-BE49-F238E27FC236}">
                <a16:creationId xmlns:a16="http://schemas.microsoft.com/office/drawing/2014/main" id="{00000000-0008-0000-0B00-0000D1000000}"/>
              </a:ext>
            </a:extLst>
          </xdr:cNvPr>
          <xdr:cNvSpPr/>
        </xdr:nvSpPr>
        <xdr:spPr>
          <a:xfrm>
            <a:off x="2612163"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10" name="Ellipse 209">
            <a:extLst>
              <a:ext uri="{FF2B5EF4-FFF2-40B4-BE49-F238E27FC236}">
                <a16:creationId xmlns:a16="http://schemas.microsoft.com/office/drawing/2014/main" id="{00000000-0008-0000-0B00-0000D2000000}"/>
              </a:ext>
            </a:extLst>
          </xdr:cNvPr>
          <xdr:cNvSpPr/>
        </xdr:nvSpPr>
        <xdr:spPr>
          <a:xfrm>
            <a:off x="2322014" y="3540597"/>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11" name="Ellipse 210">
            <a:extLst>
              <a:ext uri="{FF2B5EF4-FFF2-40B4-BE49-F238E27FC236}">
                <a16:creationId xmlns:a16="http://schemas.microsoft.com/office/drawing/2014/main" id="{00000000-0008-0000-0B00-0000D3000000}"/>
              </a:ext>
            </a:extLst>
          </xdr:cNvPr>
          <xdr:cNvSpPr/>
        </xdr:nvSpPr>
        <xdr:spPr>
          <a:xfrm>
            <a:off x="2539254"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12" name="Ellipse 211">
            <a:extLst>
              <a:ext uri="{FF2B5EF4-FFF2-40B4-BE49-F238E27FC236}">
                <a16:creationId xmlns:a16="http://schemas.microsoft.com/office/drawing/2014/main" id="{00000000-0008-0000-0B00-0000D4000000}"/>
              </a:ext>
            </a:extLst>
          </xdr:cNvPr>
          <xdr:cNvSpPr/>
        </xdr:nvSpPr>
        <xdr:spPr>
          <a:xfrm>
            <a:off x="2648791"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13" name="Ellipse 212">
            <a:extLst>
              <a:ext uri="{FF2B5EF4-FFF2-40B4-BE49-F238E27FC236}">
                <a16:creationId xmlns:a16="http://schemas.microsoft.com/office/drawing/2014/main" id="{00000000-0008-0000-0B00-0000D5000000}"/>
              </a:ext>
            </a:extLst>
          </xdr:cNvPr>
          <xdr:cNvSpPr/>
        </xdr:nvSpPr>
        <xdr:spPr>
          <a:xfrm>
            <a:off x="2575449"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14" name="Ellipse 213">
            <a:extLst>
              <a:ext uri="{FF2B5EF4-FFF2-40B4-BE49-F238E27FC236}">
                <a16:creationId xmlns:a16="http://schemas.microsoft.com/office/drawing/2014/main" id="{00000000-0008-0000-0B00-0000D6000000}"/>
              </a:ext>
            </a:extLst>
          </xdr:cNvPr>
          <xdr:cNvSpPr/>
        </xdr:nvSpPr>
        <xdr:spPr>
          <a:xfrm>
            <a:off x="2613549"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15" name="Ellipse 214">
            <a:extLst>
              <a:ext uri="{FF2B5EF4-FFF2-40B4-BE49-F238E27FC236}">
                <a16:creationId xmlns:a16="http://schemas.microsoft.com/office/drawing/2014/main" id="{00000000-0008-0000-0B00-0000D7000000}"/>
              </a:ext>
            </a:extLst>
          </xdr:cNvPr>
          <xdr:cNvSpPr/>
        </xdr:nvSpPr>
        <xdr:spPr>
          <a:xfrm>
            <a:off x="2540206"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16" name="Ellipse 215">
            <a:extLst>
              <a:ext uri="{FF2B5EF4-FFF2-40B4-BE49-F238E27FC236}">
                <a16:creationId xmlns:a16="http://schemas.microsoft.com/office/drawing/2014/main" id="{00000000-0008-0000-0B00-0000D8000000}"/>
              </a:ext>
            </a:extLst>
          </xdr:cNvPr>
          <xdr:cNvSpPr/>
        </xdr:nvSpPr>
        <xdr:spPr>
          <a:xfrm>
            <a:off x="2649311"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17" name="Ellipse 216">
            <a:extLst>
              <a:ext uri="{FF2B5EF4-FFF2-40B4-BE49-F238E27FC236}">
                <a16:creationId xmlns:a16="http://schemas.microsoft.com/office/drawing/2014/main" id="{00000000-0008-0000-0B00-0000D9000000}"/>
              </a:ext>
            </a:extLst>
          </xdr:cNvPr>
          <xdr:cNvSpPr/>
        </xdr:nvSpPr>
        <xdr:spPr>
          <a:xfrm>
            <a:off x="2575968"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18" name="Ellipse 217">
            <a:extLst>
              <a:ext uri="{FF2B5EF4-FFF2-40B4-BE49-F238E27FC236}">
                <a16:creationId xmlns:a16="http://schemas.microsoft.com/office/drawing/2014/main" id="{00000000-0008-0000-0B00-0000DA000000}"/>
              </a:ext>
            </a:extLst>
          </xdr:cNvPr>
          <xdr:cNvSpPr/>
        </xdr:nvSpPr>
        <xdr:spPr>
          <a:xfrm>
            <a:off x="2392807"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19" name="Ellipse 218">
            <a:extLst>
              <a:ext uri="{FF2B5EF4-FFF2-40B4-BE49-F238E27FC236}">
                <a16:creationId xmlns:a16="http://schemas.microsoft.com/office/drawing/2014/main" id="{00000000-0008-0000-0B00-0000DB000000}"/>
              </a:ext>
            </a:extLst>
          </xdr:cNvPr>
          <xdr:cNvSpPr/>
        </xdr:nvSpPr>
        <xdr:spPr>
          <a:xfrm>
            <a:off x="2466150"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20" name="Ellipse 219">
            <a:extLst>
              <a:ext uri="{FF2B5EF4-FFF2-40B4-BE49-F238E27FC236}">
                <a16:creationId xmlns:a16="http://schemas.microsoft.com/office/drawing/2014/main" id="{00000000-0008-0000-0B00-0000DC000000}"/>
              </a:ext>
            </a:extLst>
          </xdr:cNvPr>
          <xdr:cNvSpPr/>
        </xdr:nvSpPr>
        <xdr:spPr>
          <a:xfrm>
            <a:off x="2612835"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21" name="Ellipse 220">
            <a:extLst>
              <a:ext uri="{FF2B5EF4-FFF2-40B4-BE49-F238E27FC236}">
                <a16:creationId xmlns:a16="http://schemas.microsoft.com/office/drawing/2014/main" id="{00000000-0008-0000-0B00-0000DD000000}"/>
              </a:ext>
            </a:extLst>
          </xdr:cNvPr>
          <xdr:cNvSpPr/>
        </xdr:nvSpPr>
        <xdr:spPr>
          <a:xfrm>
            <a:off x="2539492"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editAs="absolute">
    <xdr:from>
      <xdr:col>5</xdr:col>
      <xdr:colOff>11208</xdr:colOff>
      <xdr:row>10</xdr:row>
      <xdr:rowOff>50425</xdr:rowOff>
    </xdr:from>
    <xdr:to>
      <xdr:col>5</xdr:col>
      <xdr:colOff>413293</xdr:colOff>
      <xdr:row>11</xdr:row>
      <xdr:rowOff>185186</xdr:rowOff>
    </xdr:to>
    <xdr:grpSp>
      <xdr:nvGrpSpPr>
        <xdr:cNvPr id="222" name="Groupe 221">
          <a:extLst>
            <a:ext uri="{FF2B5EF4-FFF2-40B4-BE49-F238E27FC236}">
              <a16:creationId xmlns:a16="http://schemas.microsoft.com/office/drawing/2014/main" id="{00000000-0008-0000-0B00-0000DE000000}"/>
            </a:ext>
          </a:extLst>
        </xdr:cNvPr>
        <xdr:cNvGrpSpPr/>
      </xdr:nvGrpSpPr>
      <xdr:grpSpPr>
        <a:xfrm>
          <a:off x="4106958" y="1955425"/>
          <a:ext cx="402085" cy="325261"/>
          <a:chOff x="2319226" y="3287672"/>
          <a:chExt cx="402085" cy="325261"/>
        </a:xfrm>
      </xdr:grpSpPr>
      <xdr:sp macro="" textlink="">
        <xdr:nvSpPr>
          <xdr:cNvPr id="223" name="Ellipse 222">
            <a:extLst>
              <a:ext uri="{FF2B5EF4-FFF2-40B4-BE49-F238E27FC236}">
                <a16:creationId xmlns:a16="http://schemas.microsoft.com/office/drawing/2014/main" id="{00000000-0008-0000-0B00-0000DF000000}"/>
              </a:ext>
            </a:extLst>
          </xdr:cNvPr>
          <xdr:cNvSpPr/>
        </xdr:nvSpPr>
        <xdr:spPr>
          <a:xfrm>
            <a:off x="2392569"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24" name="Ellipse 223">
            <a:extLst>
              <a:ext uri="{FF2B5EF4-FFF2-40B4-BE49-F238E27FC236}">
                <a16:creationId xmlns:a16="http://schemas.microsoft.com/office/drawing/2014/main" id="{00000000-0008-0000-0B00-0000E0000000}"/>
              </a:ext>
            </a:extLst>
          </xdr:cNvPr>
          <xdr:cNvSpPr/>
        </xdr:nvSpPr>
        <xdr:spPr>
          <a:xfrm>
            <a:off x="2465911"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25" name="Ellipse 224">
            <a:extLst>
              <a:ext uri="{FF2B5EF4-FFF2-40B4-BE49-F238E27FC236}">
                <a16:creationId xmlns:a16="http://schemas.microsoft.com/office/drawing/2014/main" id="{00000000-0008-0000-0B00-0000E1000000}"/>
              </a:ext>
            </a:extLst>
          </xdr:cNvPr>
          <xdr:cNvSpPr/>
        </xdr:nvSpPr>
        <xdr:spPr>
          <a:xfrm>
            <a:off x="2319226"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26" name="Ellipse 225">
            <a:extLst>
              <a:ext uri="{FF2B5EF4-FFF2-40B4-BE49-F238E27FC236}">
                <a16:creationId xmlns:a16="http://schemas.microsoft.com/office/drawing/2014/main" id="{00000000-0008-0000-0B00-0000E2000000}"/>
              </a:ext>
            </a:extLst>
          </xdr:cNvPr>
          <xdr:cNvSpPr/>
        </xdr:nvSpPr>
        <xdr:spPr>
          <a:xfrm>
            <a:off x="2428764"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27" name="Ellipse 226">
            <a:extLst>
              <a:ext uri="{FF2B5EF4-FFF2-40B4-BE49-F238E27FC236}">
                <a16:creationId xmlns:a16="http://schemas.microsoft.com/office/drawing/2014/main" id="{00000000-0008-0000-0B00-0000E3000000}"/>
              </a:ext>
            </a:extLst>
          </xdr:cNvPr>
          <xdr:cNvSpPr/>
        </xdr:nvSpPr>
        <xdr:spPr>
          <a:xfrm>
            <a:off x="2502106"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28" name="Ellipse 227">
            <a:extLst>
              <a:ext uri="{FF2B5EF4-FFF2-40B4-BE49-F238E27FC236}">
                <a16:creationId xmlns:a16="http://schemas.microsoft.com/office/drawing/2014/main" id="{00000000-0008-0000-0B00-0000E4000000}"/>
              </a:ext>
            </a:extLst>
          </xdr:cNvPr>
          <xdr:cNvSpPr/>
        </xdr:nvSpPr>
        <xdr:spPr>
          <a:xfrm>
            <a:off x="2355421"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29" name="Ellipse 228">
            <a:extLst>
              <a:ext uri="{FF2B5EF4-FFF2-40B4-BE49-F238E27FC236}">
                <a16:creationId xmlns:a16="http://schemas.microsoft.com/office/drawing/2014/main" id="{00000000-0008-0000-0B00-0000E5000000}"/>
              </a:ext>
            </a:extLst>
          </xdr:cNvPr>
          <xdr:cNvSpPr/>
        </xdr:nvSpPr>
        <xdr:spPr>
          <a:xfrm>
            <a:off x="2393521"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30" name="Ellipse 229">
            <a:extLst>
              <a:ext uri="{FF2B5EF4-FFF2-40B4-BE49-F238E27FC236}">
                <a16:creationId xmlns:a16="http://schemas.microsoft.com/office/drawing/2014/main" id="{00000000-0008-0000-0B00-0000E6000000}"/>
              </a:ext>
            </a:extLst>
          </xdr:cNvPr>
          <xdr:cNvSpPr/>
        </xdr:nvSpPr>
        <xdr:spPr>
          <a:xfrm>
            <a:off x="2466864"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31" name="Ellipse 230">
            <a:extLst>
              <a:ext uri="{FF2B5EF4-FFF2-40B4-BE49-F238E27FC236}">
                <a16:creationId xmlns:a16="http://schemas.microsoft.com/office/drawing/2014/main" id="{00000000-0008-0000-0B00-0000E7000000}"/>
              </a:ext>
            </a:extLst>
          </xdr:cNvPr>
          <xdr:cNvSpPr/>
        </xdr:nvSpPr>
        <xdr:spPr>
          <a:xfrm>
            <a:off x="2429716"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32" name="Ellipse 231">
            <a:extLst>
              <a:ext uri="{FF2B5EF4-FFF2-40B4-BE49-F238E27FC236}">
                <a16:creationId xmlns:a16="http://schemas.microsoft.com/office/drawing/2014/main" id="{00000000-0008-0000-0B00-0000E8000000}"/>
              </a:ext>
            </a:extLst>
          </xdr:cNvPr>
          <xdr:cNvSpPr/>
        </xdr:nvSpPr>
        <xdr:spPr>
          <a:xfrm>
            <a:off x="2502626"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33" name="Ellipse 232">
            <a:extLst>
              <a:ext uri="{FF2B5EF4-FFF2-40B4-BE49-F238E27FC236}">
                <a16:creationId xmlns:a16="http://schemas.microsoft.com/office/drawing/2014/main" id="{00000000-0008-0000-0B00-0000E9000000}"/>
              </a:ext>
            </a:extLst>
          </xdr:cNvPr>
          <xdr:cNvSpPr/>
        </xdr:nvSpPr>
        <xdr:spPr>
          <a:xfrm>
            <a:off x="2356374"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34" name="Ellipse 233">
            <a:extLst>
              <a:ext uri="{FF2B5EF4-FFF2-40B4-BE49-F238E27FC236}">
                <a16:creationId xmlns:a16="http://schemas.microsoft.com/office/drawing/2014/main" id="{00000000-0008-0000-0B00-0000EA000000}"/>
              </a:ext>
            </a:extLst>
          </xdr:cNvPr>
          <xdr:cNvSpPr/>
        </xdr:nvSpPr>
        <xdr:spPr>
          <a:xfrm>
            <a:off x="2612163"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35" name="Ellipse 234">
            <a:extLst>
              <a:ext uri="{FF2B5EF4-FFF2-40B4-BE49-F238E27FC236}">
                <a16:creationId xmlns:a16="http://schemas.microsoft.com/office/drawing/2014/main" id="{00000000-0008-0000-0B00-0000EB000000}"/>
              </a:ext>
            </a:extLst>
          </xdr:cNvPr>
          <xdr:cNvSpPr/>
        </xdr:nvSpPr>
        <xdr:spPr>
          <a:xfrm>
            <a:off x="2322014" y="3540597"/>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36" name="Ellipse 235">
            <a:extLst>
              <a:ext uri="{FF2B5EF4-FFF2-40B4-BE49-F238E27FC236}">
                <a16:creationId xmlns:a16="http://schemas.microsoft.com/office/drawing/2014/main" id="{00000000-0008-0000-0B00-0000EC000000}"/>
              </a:ext>
            </a:extLst>
          </xdr:cNvPr>
          <xdr:cNvSpPr/>
        </xdr:nvSpPr>
        <xdr:spPr>
          <a:xfrm>
            <a:off x="2539254"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37" name="Ellipse 236">
            <a:extLst>
              <a:ext uri="{FF2B5EF4-FFF2-40B4-BE49-F238E27FC236}">
                <a16:creationId xmlns:a16="http://schemas.microsoft.com/office/drawing/2014/main" id="{00000000-0008-0000-0B00-0000ED000000}"/>
              </a:ext>
            </a:extLst>
          </xdr:cNvPr>
          <xdr:cNvSpPr/>
        </xdr:nvSpPr>
        <xdr:spPr>
          <a:xfrm>
            <a:off x="2648791"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38" name="Ellipse 237">
            <a:extLst>
              <a:ext uri="{FF2B5EF4-FFF2-40B4-BE49-F238E27FC236}">
                <a16:creationId xmlns:a16="http://schemas.microsoft.com/office/drawing/2014/main" id="{00000000-0008-0000-0B00-0000EE000000}"/>
              </a:ext>
            </a:extLst>
          </xdr:cNvPr>
          <xdr:cNvSpPr/>
        </xdr:nvSpPr>
        <xdr:spPr>
          <a:xfrm>
            <a:off x="2575449"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39" name="Ellipse 238">
            <a:extLst>
              <a:ext uri="{FF2B5EF4-FFF2-40B4-BE49-F238E27FC236}">
                <a16:creationId xmlns:a16="http://schemas.microsoft.com/office/drawing/2014/main" id="{00000000-0008-0000-0B00-0000EF000000}"/>
              </a:ext>
            </a:extLst>
          </xdr:cNvPr>
          <xdr:cNvSpPr/>
        </xdr:nvSpPr>
        <xdr:spPr>
          <a:xfrm>
            <a:off x="2613549"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40" name="Ellipse 239">
            <a:extLst>
              <a:ext uri="{FF2B5EF4-FFF2-40B4-BE49-F238E27FC236}">
                <a16:creationId xmlns:a16="http://schemas.microsoft.com/office/drawing/2014/main" id="{00000000-0008-0000-0B00-0000F0000000}"/>
              </a:ext>
            </a:extLst>
          </xdr:cNvPr>
          <xdr:cNvSpPr/>
        </xdr:nvSpPr>
        <xdr:spPr>
          <a:xfrm>
            <a:off x="2540206"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41" name="Ellipse 240">
            <a:extLst>
              <a:ext uri="{FF2B5EF4-FFF2-40B4-BE49-F238E27FC236}">
                <a16:creationId xmlns:a16="http://schemas.microsoft.com/office/drawing/2014/main" id="{00000000-0008-0000-0B00-0000F1000000}"/>
              </a:ext>
            </a:extLst>
          </xdr:cNvPr>
          <xdr:cNvSpPr/>
        </xdr:nvSpPr>
        <xdr:spPr>
          <a:xfrm>
            <a:off x="2649311"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42" name="Ellipse 241">
            <a:extLst>
              <a:ext uri="{FF2B5EF4-FFF2-40B4-BE49-F238E27FC236}">
                <a16:creationId xmlns:a16="http://schemas.microsoft.com/office/drawing/2014/main" id="{00000000-0008-0000-0B00-0000F2000000}"/>
              </a:ext>
            </a:extLst>
          </xdr:cNvPr>
          <xdr:cNvSpPr/>
        </xdr:nvSpPr>
        <xdr:spPr>
          <a:xfrm>
            <a:off x="2575968"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43" name="Ellipse 242">
            <a:extLst>
              <a:ext uri="{FF2B5EF4-FFF2-40B4-BE49-F238E27FC236}">
                <a16:creationId xmlns:a16="http://schemas.microsoft.com/office/drawing/2014/main" id="{00000000-0008-0000-0B00-0000F3000000}"/>
              </a:ext>
            </a:extLst>
          </xdr:cNvPr>
          <xdr:cNvSpPr/>
        </xdr:nvSpPr>
        <xdr:spPr>
          <a:xfrm>
            <a:off x="2392807"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44" name="Ellipse 243">
            <a:extLst>
              <a:ext uri="{FF2B5EF4-FFF2-40B4-BE49-F238E27FC236}">
                <a16:creationId xmlns:a16="http://schemas.microsoft.com/office/drawing/2014/main" id="{00000000-0008-0000-0B00-0000F4000000}"/>
              </a:ext>
            </a:extLst>
          </xdr:cNvPr>
          <xdr:cNvSpPr/>
        </xdr:nvSpPr>
        <xdr:spPr>
          <a:xfrm>
            <a:off x="2466150"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45" name="Ellipse 244">
            <a:extLst>
              <a:ext uri="{FF2B5EF4-FFF2-40B4-BE49-F238E27FC236}">
                <a16:creationId xmlns:a16="http://schemas.microsoft.com/office/drawing/2014/main" id="{00000000-0008-0000-0B00-0000F5000000}"/>
              </a:ext>
            </a:extLst>
          </xdr:cNvPr>
          <xdr:cNvSpPr/>
        </xdr:nvSpPr>
        <xdr:spPr>
          <a:xfrm>
            <a:off x="2612835"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46" name="Ellipse 245">
            <a:extLst>
              <a:ext uri="{FF2B5EF4-FFF2-40B4-BE49-F238E27FC236}">
                <a16:creationId xmlns:a16="http://schemas.microsoft.com/office/drawing/2014/main" id="{00000000-0008-0000-0B00-0000F6000000}"/>
              </a:ext>
            </a:extLst>
          </xdr:cNvPr>
          <xdr:cNvSpPr/>
        </xdr:nvSpPr>
        <xdr:spPr>
          <a:xfrm>
            <a:off x="2539492"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editAs="absolute">
    <xdr:from>
      <xdr:col>5</xdr:col>
      <xdr:colOff>380997</xdr:colOff>
      <xdr:row>10</xdr:row>
      <xdr:rowOff>50427</xdr:rowOff>
    </xdr:from>
    <xdr:to>
      <xdr:col>5</xdr:col>
      <xdr:colOff>783082</xdr:colOff>
      <xdr:row>11</xdr:row>
      <xdr:rowOff>185188</xdr:rowOff>
    </xdr:to>
    <xdr:grpSp>
      <xdr:nvGrpSpPr>
        <xdr:cNvPr id="247" name="Groupe 246">
          <a:extLst>
            <a:ext uri="{FF2B5EF4-FFF2-40B4-BE49-F238E27FC236}">
              <a16:creationId xmlns:a16="http://schemas.microsoft.com/office/drawing/2014/main" id="{00000000-0008-0000-0B00-0000F7000000}"/>
            </a:ext>
          </a:extLst>
        </xdr:cNvPr>
        <xdr:cNvGrpSpPr/>
      </xdr:nvGrpSpPr>
      <xdr:grpSpPr>
        <a:xfrm>
          <a:off x="4476747" y="1955427"/>
          <a:ext cx="402085" cy="325261"/>
          <a:chOff x="2319226" y="3287672"/>
          <a:chExt cx="402085" cy="325261"/>
        </a:xfrm>
      </xdr:grpSpPr>
      <xdr:sp macro="" textlink="">
        <xdr:nvSpPr>
          <xdr:cNvPr id="248" name="Ellipse 247">
            <a:extLst>
              <a:ext uri="{FF2B5EF4-FFF2-40B4-BE49-F238E27FC236}">
                <a16:creationId xmlns:a16="http://schemas.microsoft.com/office/drawing/2014/main" id="{00000000-0008-0000-0B00-0000F8000000}"/>
              </a:ext>
            </a:extLst>
          </xdr:cNvPr>
          <xdr:cNvSpPr/>
        </xdr:nvSpPr>
        <xdr:spPr>
          <a:xfrm>
            <a:off x="2392569"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49" name="Ellipse 248">
            <a:extLst>
              <a:ext uri="{FF2B5EF4-FFF2-40B4-BE49-F238E27FC236}">
                <a16:creationId xmlns:a16="http://schemas.microsoft.com/office/drawing/2014/main" id="{00000000-0008-0000-0B00-0000F9000000}"/>
              </a:ext>
            </a:extLst>
          </xdr:cNvPr>
          <xdr:cNvSpPr/>
        </xdr:nvSpPr>
        <xdr:spPr>
          <a:xfrm>
            <a:off x="2465911"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50" name="Ellipse 249">
            <a:extLst>
              <a:ext uri="{FF2B5EF4-FFF2-40B4-BE49-F238E27FC236}">
                <a16:creationId xmlns:a16="http://schemas.microsoft.com/office/drawing/2014/main" id="{00000000-0008-0000-0B00-0000FA000000}"/>
              </a:ext>
            </a:extLst>
          </xdr:cNvPr>
          <xdr:cNvSpPr/>
        </xdr:nvSpPr>
        <xdr:spPr>
          <a:xfrm>
            <a:off x="2319226"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51" name="Ellipse 250">
            <a:extLst>
              <a:ext uri="{FF2B5EF4-FFF2-40B4-BE49-F238E27FC236}">
                <a16:creationId xmlns:a16="http://schemas.microsoft.com/office/drawing/2014/main" id="{00000000-0008-0000-0B00-0000FB000000}"/>
              </a:ext>
            </a:extLst>
          </xdr:cNvPr>
          <xdr:cNvSpPr/>
        </xdr:nvSpPr>
        <xdr:spPr>
          <a:xfrm>
            <a:off x="2428764"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52" name="Ellipse 251">
            <a:extLst>
              <a:ext uri="{FF2B5EF4-FFF2-40B4-BE49-F238E27FC236}">
                <a16:creationId xmlns:a16="http://schemas.microsoft.com/office/drawing/2014/main" id="{00000000-0008-0000-0B00-0000FC000000}"/>
              </a:ext>
            </a:extLst>
          </xdr:cNvPr>
          <xdr:cNvSpPr/>
        </xdr:nvSpPr>
        <xdr:spPr>
          <a:xfrm>
            <a:off x="2502106"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53" name="Ellipse 252">
            <a:extLst>
              <a:ext uri="{FF2B5EF4-FFF2-40B4-BE49-F238E27FC236}">
                <a16:creationId xmlns:a16="http://schemas.microsoft.com/office/drawing/2014/main" id="{00000000-0008-0000-0B00-0000FD000000}"/>
              </a:ext>
            </a:extLst>
          </xdr:cNvPr>
          <xdr:cNvSpPr/>
        </xdr:nvSpPr>
        <xdr:spPr>
          <a:xfrm>
            <a:off x="2355421"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54" name="Ellipse 253">
            <a:extLst>
              <a:ext uri="{FF2B5EF4-FFF2-40B4-BE49-F238E27FC236}">
                <a16:creationId xmlns:a16="http://schemas.microsoft.com/office/drawing/2014/main" id="{00000000-0008-0000-0B00-0000FE000000}"/>
              </a:ext>
            </a:extLst>
          </xdr:cNvPr>
          <xdr:cNvSpPr/>
        </xdr:nvSpPr>
        <xdr:spPr>
          <a:xfrm>
            <a:off x="2393521"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55" name="Ellipse 254">
            <a:extLst>
              <a:ext uri="{FF2B5EF4-FFF2-40B4-BE49-F238E27FC236}">
                <a16:creationId xmlns:a16="http://schemas.microsoft.com/office/drawing/2014/main" id="{00000000-0008-0000-0B00-0000FF000000}"/>
              </a:ext>
            </a:extLst>
          </xdr:cNvPr>
          <xdr:cNvSpPr/>
        </xdr:nvSpPr>
        <xdr:spPr>
          <a:xfrm>
            <a:off x="2466864"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56" name="Ellipse 255">
            <a:extLst>
              <a:ext uri="{FF2B5EF4-FFF2-40B4-BE49-F238E27FC236}">
                <a16:creationId xmlns:a16="http://schemas.microsoft.com/office/drawing/2014/main" id="{00000000-0008-0000-0B00-000000010000}"/>
              </a:ext>
            </a:extLst>
          </xdr:cNvPr>
          <xdr:cNvSpPr/>
        </xdr:nvSpPr>
        <xdr:spPr>
          <a:xfrm>
            <a:off x="2429716"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57" name="Ellipse 256">
            <a:extLst>
              <a:ext uri="{FF2B5EF4-FFF2-40B4-BE49-F238E27FC236}">
                <a16:creationId xmlns:a16="http://schemas.microsoft.com/office/drawing/2014/main" id="{00000000-0008-0000-0B00-000001010000}"/>
              </a:ext>
            </a:extLst>
          </xdr:cNvPr>
          <xdr:cNvSpPr/>
        </xdr:nvSpPr>
        <xdr:spPr>
          <a:xfrm>
            <a:off x="2502626"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58" name="Ellipse 257">
            <a:extLst>
              <a:ext uri="{FF2B5EF4-FFF2-40B4-BE49-F238E27FC236}">
                <a16:creationId xmlns:a16="http://schemas.microsoft.com/office/drawing/2014/main" id="{00000000-0008-0000-0B00-000002010000}"/>
              </a:ext>
            </a:extLst>
          </xdr:cNvPr>
          <xdr:cNvSpPr/>
        </xdr:nvSpPr>
        <xdr:spPr>
          <a:xfrm>
            <a:off x="2356374"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59" name="Ellipse 258">
            <a:extLst>
              <a:ext uri="{FF2B5EF4-FFF2-40B4-BE49-F238E27FC236}">
                <a16:creationId xmlns:a16="http://schemas.microsoft.com/office/drawing/2014/main" id="{00000000-0008-0000-0B00-000003010000}"/>
              </a:ext>
            </a:extLst>
          </xdr:cNvPr>
          <xdr:cNvSpPr/>
        </xdr:nvSpPr>
        <xdr:spPr>
          <a:xfrm>
            <a:off x="2612163"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60" name="Ellipse 259">
            <a:extLst>
              <a:ext uri="{FF2B5EF4-FFF2-40B4-BE49-F238E27FC236}">
                <a16:creationId xmlns:a16="http://schemas.microsoft.com/office/drawing/2014/main" id="{00000000-0008-0000-0B00-000004010000}"/>
              </a:ext>
            </a:extLst>
          </xdr:cNvPr>
          <xdr:cNvSpPr/>
        </xdr:nvSpPr>
        <xdr:spPr>
          <a:xfrm>
            <a:off x="2322014" y="3540597"/>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61" name="Ellipse 260">
            <a:extLst>
              <a:ext uri="{FF2B5EF4-FFF2-40B4-BE49-F238E27FC236}">
                <a16:creationId xmlns:a16="http://schemas.microsoft.com/office/drawing/2014/main" id="{00000000-0008-0000-0B00-000005010000}"/>
              </a:ext>
            </a:extLst>
          </xdr:cNvPr>
          <xdr:cNvSpPr/>
        </xdr:nvSpPr>
        <xdr:spPr>
          <a:xfrm>
            <a:off x="2539254"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62" name="Ellipse 261">
            <a:extLst>
              <a:ext uri="{FF2B5EF4-FFF2-40B4-BE49-F238E27FC236}">
                <a16:creationId xmlns:a16="http://schemas.microsoft.com/office/drawing/2014/main" id="{00000000-0008-0000-0B00-000006010000}"/>
              </a:ext>
            </a:extLst>
          </xdr:cNvPr>
          <xdr:cNvSpPr/>
        </xdr:nvSpPr>
        <xdr:spPr>
          <a:xfrm>
            <a:off x="2648791"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63" name="Ellipse 262">
            <a:extLst>
              <a:ext uri="{FF2B5EF4-FFF2-40B4-BE49-F238E27FC236}">
                <a16:creationId xmlns:a16="http://schemas.microsoft.com/office/drawing/2014/main" id="{00000000-0008-0000-0B00-000007010000}"/>
              </a:ext>
            </a:extLst>
          </xdr:cNvPr>
          <xdr:cNvSpPr/>
        </xdr:nvSpPr>
        <xdr:spPr>
          <a:xfrm>
            <a:off x="2575449"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64" name="Ellipse 263">
            <a:extLst>
              <a:ext uri="{FF2B5EF4-FFF2-40B4-BE49-F238E27FC236}">
                <a16:creationId xmlns:a16="http://schemas.microsoft.com/office/drawing/2014/main" id="{00000000-0008-0000-0B00-000008010000}"/>
              </a:ext>
            </a:extLst>
          </xdr:cNvPr>
          <xdr:cNvSpPr/>
        </xdr:nvSpPr>
        <xdr:spPr>
          <a:xfrm>
            <a:off x="2613549"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65" name="Ellipse 264">
            <a:extLst>
              <a:ext uri="{FF2B5EF4-FFF2-40B4-BE49-F238E27FC236}">
                <a16:creationId xmlns:a16="http://schemas.microsoft.com/office/drawing/2014/main" id="{00000000-0008-0000-0B00-000009010000}"/>
              </a:ext>
            </a:extLst>
          </xdr:cNvPr>
          <xdr:cNvSpPr/>
        </xdr:nvSpPr>
        <xdr:spPr>
          <a:xfrm>
            <a:off x="2540206"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66" name="Ellipse 265">
            <a:extLst>
              <a:ext uri="{FF2B5EF4-FFF2-40B4-BE49-F238E27FC236}">
                <a16:creationId xmlns:a16="http://schemas.microsoft.com/office/drawing/2014/main" id="{00000000-0008-0000-0B00-00000A010000}"/>
              </a:ext>
            </a:extLst>
          </xdr:cNvPr>
          <xdr:cNvSpPr/>
        </xdr:nvSpPr>
        <xdr:spPr>
          <a:xfrm>
            <a:off x="2649311"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67" name="Ellipse 266">
            <a:extLst>
              <a:ext uri="{FF2B5EF4-FFF2-40B4-BE49-F238E27FC236}">
                <a16:creationId xmlns:a16="http://schemas.microsoft.com/office/drawing/2014/main" id="{00000000-0008-0000-0B00-00000B010000}"/>
              </a:ext>
            </a:extLst>
          </xdr:cNvPr>
          <xdr:cNvSpPr/>
        </xdr:nvSpPr>
        <xdr:spPr>
          <a:xfrm>
            <a:off x="2575968"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68" name="Ellipse 267">
            <a:extLst>
              <a:ext uri="{FF2B5EF4-FFF2-40B4-BE49-F238E27FC236}">
                <a16:creationId xmlns:a16="http://schemas.microsoft.com/office/drawing/2014/main" id="{00000000-0008-0000-0B00-00000C010000}"/>
              </a:ext>
            </a:extLst>
          </xdr:cNvPr>
          <xdr:cNvSpPr/>
        </xdr:nvSpPr>
        <xdr:spPr>
          <a:xfrm>
            <a:off x="2392807"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69" name="Ellipse 268">
            <a:extLst>
              <a:ext uri="{FF2B5EF4-FFF2-40B4-BE49-F238E27FC236}">
                <a16:creationId xmlns:a16="http://schemas.microsoft.com/office/drawing/2014/main" id="{00000000-0008-0000-0B00-00000D010000}"/>
              </a:ext>
            </a:extLst>
          </xdr:cNvPr>
          <xdr:cNvSpPr/>
        </xdr:nvSpPr>
        <xdr:spPr>
          <a:xfrm>
            <a:off x="2466150"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70" name="Ellipse 269">
            <a:extLst>
              <a:ext uri="{FF2B5EF4-FFF2-40B4-BE49-F238E27FC236}">
                <a16:creationId xmlns:a16="http://schemas.microsoft.com/office/drawing/2014/main" id="{00000000-0008-0000-0B00-00000E010000}"/>
              </a:ext>
            </a:extLst>
          </xdr:cNvPr>
          <xdr:cNvSpPr/>
        </xdr:nvSpPr>
        <xdr:spPr>
          <a:xfrm>
            <a:off x="2612835"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71" name="Ellipse 270">
            <a:extLst>
              <a:ext uri="{FF2B5EF4-FFF2-40B4-BE49-F238E27FC236}">
                <a16:creationId xmlns:a16="http://schemas.microsoft.com/office/drawing/2014/main" id="{00000000-0008-0000-0B00-00000F010000}"/>
              </a:ext>
            </a:extLst>
          </xdr:cNvPr>
          <xdr:cNvSpPr/>
        </xdr:nvSpPr>
        <xdr:spPr>
          <a:xfrm>
            <a:off x="2539492"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editAs="absolute">
    <xdr:from>
      <xdr:col>4</xdr:col>
      <xdr:colOff>16809</xdr:colOff>
      <xdr:row>6</xdr:row>
      <xdr:rowOff>50426</xdr:rowOff>
    </xdr:from>
    <xdr:to>
      <xdr:col>4</xdr:col>
      <xdr:colOff>455089</xdr:colOff>
      <xdr:row>7</xdr:row>
      <xdr:rowOff>184176</xdr:rowOff>
    </xdr:to>
    <xdr:grpSp>
      <xdr:nvGrpSpPr>
        <xdr:cNvPr id="272" name="Groupe 271">
          <a:extLst>
            <a:ext uri="{FF2B5EF4-FFF2-40B4-BE49-F238E27FC236}">
              <a16:creationId xmlns:a16="http://schemas.microsoft.com/office/drawing/2014/main" id="{00000000-0008-0000-0B00-000010010000}"/>
            </a:ext>
          </a:extLst>
        </xdr:cNvPr>
        <xdr:cNvGrpSpPr/>
      </xdr:nvGrpSpPr>
      <xdr:grpSpPr>
        <a:xfrm>
          <a:off x="3064809" y="1193426"/>
          <a:ext cx="438280" cy="324250"/>
          <a:chOff x="8382000" y="1143000"/>
          <a:chExt cx="4382795" cy="3227450"/>
        </a:xfrm>
      </xdr:grpSpPr>
      <xdr:sp macro="" textlink="">
        <xdr:nvSpPr>
          <xdr:cNvPr id="273" name="Ellipse 272">
            <a:extLst>
              <a:ext uri="{FF2B5EF4-FFF2-40B4-BE49-F238E27FC236}">
                <a16:creationId xmlns:a16="http://schemas.microsoft.com/office/drawing/2014/main" id="{00000000-0008-0000-0B00-000011010000}"/>
              </a:ext>
            </a:extLst>
          </xdr:cNvPr>
          <xdr:cNvSpPr/>
        </xdr:nvSpPr>
        <xdr:spPr>
          <a:xfrm>
            <a:off x="911542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74" name="Ellipse 273">
            <a:extLst>
              <a:ext uri="{FF2B5EF4-FFF2-40B4-BE49-F238E27FC236}">
                <a16:creationId xmlns:a16="http://schemas.microsoft.com/office/drawing/2014/main" id="{00000000-0008-0000-0B00-000012010000}"/>
              </a:ext>
            </a:extLst>
          </xdr:cNvPr>
          <xdr:cNvSpPr/>
        </xdr:nvSpPr>
        <xdr:spPr>
          <a:xfrm>
            <a:off x="984885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75" name="Ellipse 274">
            <a:extLst>
              <a:ext uri="{FF2B5EF4-FFF2-40B4-BE49-F238E27FC236}">
                <a16:creationId xmlns:a16="http://schemas.microsoft.com/office/drawing/2014/main" id="{00000000-0008-0000-0B00-000013010000}"/>
              </a:ext>
            </a:extLst>
          </xdr:cNvPr>
          <xdr:cNvSpPr/>
        </xdr:nvSpPr>
        <xdr:spPr>
          <a:xfrm>
            <a:off x="838200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76" name="Ellipse 275">
            <a:extLst>
              <a:ext uri="{FF2B5EF4-FFF2-40B4-BE49-F238E27FC236}">
                <a16:creationId xmlns:a16="http://schemas.microsoft.com/office/drawing/2014/main" id="{00000000-0008-0000-0B00-000014010000}"/>
              </a:ext>
            </a:extLst>
          </xdr:cNvPr>
          <xdr:cNvSpPr/>
        </xdr:nvSpPr>
        <xdr:spPr>
          <a:xfrm>
            <a:off x="947737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77" name="Ellipse 276">
            <a:extLst>
              <a:ext uri="{FF2B5EF4-FFF2-40B4-BE49-F238E27FC236}">
                <a16:creationId xmlns:a16="http://schemas.microsoft.com/office/drawing/2014/main" id="{00000000-0008-0000-0B00-000015010000}"/>
              </a:ext>
            </a:extLst>
          </xdr:cNvPr>
          <xdr:cNvSpPr/>
        </xdr:nvSpPr>
        <xdr:spPr>
          <a:xfrm>
            <a:off x="1021080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78" name="Ellipse 277">
            <a:extLst>
              <a:ext uri="{FF2B5EF4-FFF2-40B4-BE49-F238E27FC236}">
                <a16:creationId xmlns:a16="http://schemas.microsoft.com/office/drawing/2014/main" id="{00000000-0008-0000-0B00-000016010000}"/>
              </a:ext>
            </a:extLst>
          </xdr:cNvPr>
          <xdr:cNvSpPr/>
        </xdr:nvSpPr>
        <xdr:spPr>
          <a:xfrm>
            <a:off x="87439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79" name="Ellipse 278">
            <a:extLst>
              <a:ext uri="{FF2B5EF4-FFF2-40B4-BE49-F238E27FC236}">
                <a16:creationId xmlns:a16="http://schemas.microsoft.com/office/drawing/2014/main" id="{00000000-0008-0000-0B00-000017010000}"/>
              </a:ext>
            </a:extLst>
          </xdr:cNvPr>
          <xdr:cNvSpPr/>
        </xdr:nvSpPr>
        <xdr:spPr>
          <a:xfrm>
            <a:off x="912495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80" name="Ellipse 279">
            <a:extLst>
              <a:ext uri="{FF2B5EF4-FFF2-40B4-BE49-F238E27FC236}">
                <a16:creationId xmlns:a16="http://schemas.microsoft.com/office/drawing/2014/main" id="{00000000-0008-0000-0B00-000018010000}"/>
              </a:ext>
            </a:extLst>
          </xdr:cNvPr>
          <xdr:cNvSpPr/>
        </xdr:nvSpPr>
        <xdr:spPr>
          <a:xfrm>
            <a:off x="985837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81" name="Ellipse 280">
            <a:extLst>
              <a:ext uri="{FF2B5EF4-FFF2-40B4-BE49-F238E27FC236}">
                <a16:creationId xmlns:a16="http://schemas.microsoft.com/office/drawing/2014/main" id="{00000000-0008-0000-0B00-000019010000}"/>
              </a:ext>
            </a:extLst>
          </xdr:cNvPr>
          <xdr:cNvSpPr/>
        </xdr:nvSpPr>
        <xdr:spPr>
          <a:xfrm>
            <a:off x="948690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82" name="Ellipse 281">
            <a:extLst>
              <a:ext uri="{FF2B5EF4-FFF2-40B4-BE49-F238E27FC236}">
                <a16:creationId xmlns:a16="http://schemas.microsoft.com/office/drawing/2014/main" id="{00000000-0008-0000-0B00-00001A010000}"/>
              </a:ext>
            </a:extLst>
          </xdr:cNvPr>
          <xdr:cNvSpPr/>
        </xdr:nvSpPr>
        <xdr:spPr>
          <a:xfrm>
            <a:off x="1021599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83" name="Ellipse 282">
            <a:extLst>
              <a:ext uri="{FF2B5EF4-FFF2-40B4-BE49-F238E27FC236}">
                <a16:creationId xmlns:a16="http://schemas.microsoft.com/office/drawing/2014/main" id="{00000000-0008-0000-0B00-00001B010000}"/>
              </a:ext>
            </a:extLst>
          </xdr:cNvPr>
          <xdr:cNvSpPr/>
        </xdr:nvSpPr>
        <xdr:spPr>
          <a:xfrm>
            <a:off x="875347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84" name="Ellipse 283">
            <a:extLst>
              <a:ext uri="{FF2B5EF4-FFF2-40B4-BE49-F238E27FC236}">
                <a16:creationId xmlns:a16="http://schemas.microsoft.com/office/drawing/2014/main" id="{00000000-0008-0000-0B00-00001C010000}"/>
              </a:ext>
            </a:extLst>
          </xdr:cNvPr>
          <xdr:cNvSpPr/>
        </xdr:nvSpPr>
        <xdr:spPr>
          <a:xfrm>
            <a:off x="1131137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85" name="Ellipse 284">
            <a:extLst>
              <a:ext uri="{FF2B5EF4-FFF2-40B4-BE49-F238E27FC236}">
                <a16:creationId xmlns:a16="http://schemas.microsoft.com/office/drawing/2014/main" id="{00000000-0008-0000-0B00-00001D010000}"/>
              </a:ext>
            </a:extLst>
          </xdr:cNvPr>
          <xdr:cNvSpPr/>
        </xdr:nvSpPr>
        <xdr:spPr>
          <a:xfrm>
            <a:off x="1204479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86" name="Ellipse 285">
            <a:extLst>
              <a:ext uri="{FF2B5EF4-FFF2-40B4-BE49-F238E27FC236}">
                <a16:creationId xmlns:a16="http://schemas.microsoft.com/office/drawing/2014/main" id="{00000000-0008-0000-0B00-00001E010000}"/>
              </a:ext>
            </a:extLst>
          </xdr:cNvPr>
          <xdr:cNvSpPr/>
        </xdr:nvSpPr>
        <xdr:spPr>
          <a:xfrm>
            <a:off x="1058227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87" name="Ellipse 286">
            <a:extLst>
              <a:ext uri="{FF2B5EF4-FFF2-40B4-BE49-F238E27FC236}">
                <a16:creationId xmlns:a16="http://schemas.microsoft.com/office/drawing/2014/main" id="{00000000-0008-0000-0B00-00001F010000}"/>
              </a:ext>
            </a:extLst>
          </xdr:cNvPr>
          <xdr:cNvSpPr/>
        </xdr:nvSpPr>
        <xdr:spPr>
          <a:xfrm>
            <a:off x="116776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88" name="Ellipse 287">
            <a:extLst>
              <a:ext uri="{FF2B5EF4-FFF2-40B4-BE49-F238E27FC236}">
                <a16:creationId xmlns:a16="http://schemas.microsoft.com/office/drawing/2014/main" id="{00000000-0008-0000-0B00-000020010000}"/>
              </a:ext>
            </a:extLst>
          </xdr:cNvPr>
          <xdr:cNvSpPr/>
        </xdr:nvSpPr>
        <xdr:spPr>
          <a:xfrm>
            <a:off x="1094422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89" name="Ellipse 288">
            <a:extLst>
              <a:ext uri="{FF2B5EF4-FFF2-40B4-BE49-F238E27FC236}">
                <a16:creationId xmlns:a16="http://schemas.microsoft.com/office/drawing/2014/main" id="{00000000-0008-0000-0B00-000021010000}"/>
              </a:ext>
            </a:extLst>
          </xdr:cNvPr>
          <xdr:cNvSpPr/>
        </xdr:nvSpPr>
        <xdr:spPr>
          <a:xfrm>
            <a:off x="1132522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90" name="Ellipse 289">
            <a:extLst>
              <a:ext uri="{FF2B5EF4-FFF2-40B4-BE49-F238E27FC236}">
                <a16:creationId xmlns:a16="http://schemas.microsoft.com/office/drawing/2014/main" id="{00000000-0008-0000-0B00-000022010000}"/>
              </a:ext>
            </a:extLst>
          </xdr:cNvPr>
          <xdr:cNvSpPr/>
        </xdr:nvSpPr>
        <xdr:spPr>
          <a:xfrm>
            <a:off x="1059180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91" name="Ellipse 290">
            <a:extLst>
              <a:ext uri="{FF2B5EF4-FFF2-40B4-BE49-F238E27FC236}">
                <a16:creationId xmlns:a16="http://schemas.microsoft.com/office/drawing/2014/main" id="{00000000-0008-0000-0B00-000023010000}"/>
              </a:ext>
            </a:extLst>
          </xdr:cNvPr>
          <xdr:cNvSpPr/>
        </xdr:nvSpPr>
        <xdr:spPr>
          <a:xfrm>
            <a:off x="1168284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92" name="Ellipse 291">
            <a:extLst>
              <a:ext uri="{FF2B5EF4-FFF2-40B4-BE49-F238E27FC236}">
                <a16:creationId xmlns:a16="http://schemas.microsoft.com/office/drawing/2014/main" id="{00000000-0008-0000-0B00-000024010000}"/>
              </a:ext>
            </a:extLst>
          </xdr:cNvPr>
          <xdr:cNvSpPr/>
        </xdr:nvSpPr>
        <xdr:spPr>
          <a:xfrm>
            <a:off x="1094942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93" name="Ellipse 292">
            <a:extLst>
              <a:ext uri="{FF2B5EF4-FFF2-40B4-BE49-F238E27FC236}">
                <a16:creationId xmlns:a16="http://schemas.microsoft.com/office/drawing/2014/main" id="{00000000-0008-0000-0B00-000025010000}"/>
              </a:ext>
            </a:extLst>
          </xdr:cNvPr>
          <xdr:cNvSpPr/>
        </xdr:nvSpPr>
        <xdr:spPr>
          <a:xfrm>
            <a:off x="911781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94" name="Ellipse 293">
            <a:extLst>
              <a:ext uri="{FF2B5EF4-FFF2-40B4-BE49-F238E27FC236}">
                <a16:creationId xmlns:a16="http://schemas.microsoft.com/office/drawing/2014/main" id="{00000000-0008-0000-0B00-000026010000}"/>
              </a:ext>
            </a:extLst>
          </xdr:cNvPr>
          <xdr:cNvSpPr/>
        </xdr:nvSpPr>
        <xdr:spPr>
          <a:xfrm>
            <a:off x="985123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95" name="Ellipse 294">
            <a:extLst>
              <a:ext uri="{FF2B5EF4-FFF2-40B4-BE49-F238E27FC236}">
                <a16:creationId xmlns:a16="http://schemas.microsoft.com/office/drawing/2014/main" id="{00000000-0008-0000-0B00-000027010000}"/>
              </a:ext>
            </a:extLst>
          </xdr:cNvPr>
          <xdr:cNvSpPr/>
        </xdr:nvSpPr>
        <xdr:spPr>
          <a:xfrm>
            <a:off x="1131808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96" name="Ellipse 295">
            <a:extLst>
              <a:ext uri="{FF2B5EF4-FFF2-40B4-BE49-F238E27FC236}">
                <a16:creationId xmlns:a16="http://schemas.microsoft.com/office/drawing/2014/main" id="{00000000-0008-0000-0B00-000028010000}"/>
              </a:ext>
            </a:extLst>
          </xdr:cNvPr>
          <xdr:cNvSpPr/>
        </xdr:nvSpPr>
        <xdr:spPr>
          <a:xfrm>
            <a:off x="1058466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editAs="absolute">
    <xdr:from>
      <xdr:col>4</xdr:col>
      <xdr:colOff>6330</xdr:colOff>
      <xdr:row>10</xdr:row>
      <xdr:rowOff>55893</xdr:rowOff>
    </xdr:from>
    <xdr:to>
      <xdr:col>4</xdr:col>
      <xdr:colOff>408415</xdr:colOff>
      <xdr:row>12</xdr:row>
      <xdr:rowOff>154</xdr:rowOff>
    </xdr:to>
    <xdr:grpSp>
      <xdr:nvGrpSpPr>
        <xdr:cNvPr id="297" name="Groupe 296">
          <a:extLst>
            <a:ext uri="{FF2B5EF4-FFF2-40B4-BE49-F238E27FC236}">
              <a16:creationId xmlns:a16="http://schemas.microsoft.com/office/drawing/2014/main" id="{00000000-0008-0000-0B00-000029010000}"/>
            </a:ext>
          </a:extLst>
        </xdr:cNvPr>
        <xdr:cNvGrpSpPr/>
      </xdr:nvGrpSpPr>
      <xdr:grpSpPr>
        <a:xfrm>
          <a:off x="3054330" y="1960893"/>
          <a:ext cx="402085" cy="325261"/>
          <a:chOff x="2319226" y="3287672"/>
          <a:chExt cx="402085" cy="325261"/>
        </a:xfrm>
      </xdr:grpSpPr>
      <xdr:sp macro="" textlink="">
        <xdr:nvSpPr>
          <xdr:cNvPr id="298" name="Ellipse 297">
            <a:extLst>
              <a:ext uri="{FF2B5EF4-FFF2-40B4-BE49-F238E27FC236}">
                <a16:creationId xmlns:a16="http://schemas.microsoft.com/office/drawing/2014/main" id="{00000000-0008-0000-0B00-00002A010000}"/>
              </a:ext>
            </a:extLst>
          </xdr:cNvPr>
          <xdr:cNvSpPr/>
        </xdr:nvSpPr>
        <xdr:spPr>
          <a:xfrm>
            <a:off x="2392569"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299" name="Ellipse 298">
            <a:extLst>
              <a:ext uri="{FF2B5EF4-FFF2-40B4-BE49-F238E27FC236}">
                <a16:creationId xmlns:a16="http://schemas.microsoft.com/office/drawing/2014/main" id="{00000000-0008-0000-0B00-00002B010000}"/>
              </a:ext>
            </a:extLst>
          </xdr:cNvPr>
          <xdr:cNvSpPr/>
        </xdr:nvSpPr>
        <xdr:spPr>
          <a:xfrm>
            <a:off x="2465911"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00" name="Ellipse 299">
            <a:extLst>
              <a:ext uri="{FF2B5EF4-FFF2-40B4-BE49-F238E27FC236}">
                <a16:creationId xmlns:a16="http://schemas.microsoft.com/office/drawing/2014/main" id="{00000000-0008-0000-0B00-00002C010000}"/>
              </a:ext>
            </a:extLst>
          </xdr:cNvPr>
          <xdr:cNvSpPr/>
        </xdr:nvSpPr>
        <xdr:spPr>
          <a:xfrm>
            <a:off x="2319226"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01" name="Ellipse 300">
            <a:extLst>
              <a:ext uri="{FF2B5EF4-FFF2-40B4-BE49-F238E27FC236}">
                <a16:creationId xmlns:a16="http://schemas.microsoft.com/office/drawing/2014/main" id="{00000000-0008-0000-0B00-00002D010000}"/>
              </a:ext>
            </a:extLst>
          </xdr:cNvPr>
          <xdr:cNvSpPr/>
        </xdr:nvSpPr>
        <xdr:spPr>
          <a:xfrm>
            <a:off x="2428764"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02" name="Ellipse 301">
            <a:extLst>
              <a:ext uri="{FF2B5EF4-FFF2-40B4-BE49-F238E27FC236}">
                <a16:creationId xmlns:a16="http://schemas.microsoft.com/office/drawing/2014/main" id="{00000000-0008-0000-0B00-00002E010000}"/>
              </a:ext>
            </a:extLst>
          </xdr:cNvPr>
          <xdr:cNvSpPr/>
        </xdr:nvSpPr>
        <xdr:spPr>
          <a:xfrm>
            <a:off x="2502106"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03" name="Ellipse 302">
            <a:extLst>
              <a:ext uri="{FF2B5EF4-FFF2-40B4-BE49-F238E27FC236}">
                <a16:creationId xmlns:a16="http://schemas.microsoft.com/office/drawing/2014/main" id="{00000000-0008-0000-0B00-00002F010000}"/>
              </a:ext>
            </a:extLst>
          </xdr:cNvPr>
          <xdr:cNvSpPr/>
        </xdr:nvSpPr>
        <xdr:spPr>
          <a:xfrm>
            <a:off x="2355421"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04" name="Ellipse 303">
            <a:extLst>
              <a:ext uri="{FF2B5EF4-FFF2-40B4-BE49-F238E27FC236}">
                <a16:creationId xmlns:a16="http://schemas.microsoft.com/office/drawing/2014/main" id="{00000000-0008-0000-0B00-000030010000}"/>
              </a:ext>
            </a:extLst>
          </xdr:cNvPr>
          <xdr:cNvSpPr/>
        </xdr:nvSpPr>
        <xdr:spPr>
          <a:xfrm>
            <a:off x="2393521"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05" name="Ellipse 304">
            <a:extLst>
              <a:ext uri="{FF2B5EF4-FFF2-40B4-BE49-F238E27FC236}">
                <a16:creationId xmlns:a16="http://schemas.microsoft.com/office/drawing/2014/main" id="{00000000-0008-0000-0B00-000031010000}"/>
              </a:ext>
            </a:extLst>
          </xdr:cNvPr>
          <xdr:cNvSpPr/>
        </xdr:nvSpPr>
        <xdr:spPr>
          <a:xfrm>
            <a:off x="2466864"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06" name="Ellipse 305">
            <a:extLst>
              <a:ext uri="{FF2B5EF4-FFF2-40B4-BE49-F238E27FC236}">
                <a16:creationId xmlns:a16="http://schemas.microsoft.com/office/drawing/2014/main" id="{00000000-0008-0000-0B00-000032010000}"/>
              </a:ext>
            </a:extLst>
          </xdr:cNvPr>
          <xdr:cNvSpPr/>
        </xdr:nvSpPr>
        <xdr:spPr>
          <a:xfrm>
            <a:off x="2429716"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07" name="Ellipse 306">
            <a:extLst>
              <a:ext uri="{FF2B5EF4-FFF2-40B4-BE49-F238E27FC236}">
                <a16:creationId xmlns:a16="http://schemas.microsoft.com/office/drawing/2014/main" id="{00000000-0008-0000-0B00-000033010000}"/>
              </a:ext>
            </a:extLst>
          </xdr:cNvPr>
          <xdr:cNvSpPr/>
        </xdr:nvSpPr>
        <xdr:spPr>
          <a:xfrm>
            <a:off x="2502626"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08" name="Ellipse 307">
            <a:extLst>
              <a:ext uri="{FF2B5EF4-FFF2-40B4-BE49-F238E27FC236}">
                <a16:creationId xmlns:a16="http://schemas.microsoft.com/office/drawing/2014/main" id="{00000000-0008-0000-0B00-000034010000}"/>
              </a:ext>
            </a:extLst>
          </xdr:cNvPr>
          <xdr:cNvSpPr/>
        </xdr:nvSpPr>
        <xdr:spPr>
          <a:xfrm>
            <a:off x="2356374"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09" name="Ellipse 308">
            <a:extLst>
              <a:ext uri="{FF2B5EF4-FFF2-40B4-BE49-F238E27FC236}">
                <a16:creationId xmlns:a16="http://schemas.microsoft.com/office/drawing/2014/main" id="{00000000-0008-0000-0B00-000035010000}"/>
              </a:ext>
            </a:extLst>
          </xdr:cNvPr>
          <xdr:cNvSpPr/>
        </xdr:nvSpPr>
        <xdr:spPr>
          <a:xfrm>
            <a:off x="2612163"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10" name="Ellipse 309">
            <a:extLst>
              <a:ext uri="{FF2B5EF4-FFF2-40B4-BE49-F238E27FC236}">
                <a16:creationId xmlns:a16="http://schemas.microsoft.com/office/drawing/2014/main" id="{00000000-0008-0000-0B00-000036010000}"/>
              </a:ext>
            </a:extLst>
          </xdr:cNvPr>
          <xdr:cNvSpPr/>
        </xdr:nvSpPr>
        <xdr:spPr>
          <a:xfrm>
            <a:off x="2322014" y="3540597"/>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11" name="Ellipse 310">
            <a:extLst>
              <a:ext uri="{FF2B5EF4-FFF2-40B4-BE49-F238E27FC236}">
                <a16:creationId xmlns:a16="http://schemas.microsoft.com/office/drawing/2014/main" id="{00000000-0008-0000-0B00-000037010000}"/>
              </a:ext>
            </a:extLst>
          </xdr:cNvPr>
          <xdr:cNvSpPr/>
        </xdr:nvSpPr>
        <xdr:spPr>
          <a:xfrm>
            <a:off x="2539254"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12" name="Ellipse 311">
            <a:extLst>
              <a:ext uri="{FF2B5EF4-FFF2-40B4-BE49-F238E27FC236}">
                <a16:creationId xmlns:a16="http://schemas.microsoft.com/office/drawing/2014/main" id="{00000000-0008-0000-0B00-000038010000}"/>
              </a:ext>
            </a:extLst>
          </xdr:cNvPr>
          <xdr:cNvSpPr/>
        </xdr:nvSpPr>
        <xdr:spPr>
          <a:xfrm>
            <a:off x="2648791"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13" name="Ellipse 312">
            <a:extLst>
              <a:ext uri="{FF2B5EF4-FFF2-40B4-BE49-F238E27FC236}">
                <a16:creationId xmlns:a16="http://schemas.microsoft.com/office/drawing/2014/main" id="{00000000-0008-0000-0B00-000039010000}"/>
              </a:ext>
            </a:extLst>
          </xdr:cNvPr>
          <xdr:cNvSpPr/>
        </xdr:nvSpPr>
        <xdr:spPr>
          <a:xfrm>
            <a:off x="2575449"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14" name="Ellipse 313">
            <a:extLst>
              <a:ext uri="{FF2B5EF4-FFF2-40B4-BE49-F238E27FC236}">
                <a16:creationId xmlns:a16="http://schemas.microsoft.com/office/drawing/2014/main" id="{00000000-0008-0000-0B00-00003A010000}"/>
              </a:ext>
            </a:extLst>
          </xdr:cNvPr>
          <xdr:cNvSpPr/>
        </xdr:nvSpPr>
        <xdr:spPr>
          <a:xfrm>
            <a:off x="2613549"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15" name="Ellipse 314">
            <a:extLst>
              <a:ext uri="{FF2B5EF4-FFF2-40B4-BE49-F238E27FC236}">
                <a16:creationId xmlns:a16="http://schemas.microsoft.com/office/drawing/2014/main" id="{00000000-0008-0000-0B00-00003B010000}"/>
              </a:ext>
            </a:extLst>
          </xdr:cNvPr>
          <xdr:cNvSpPr/>
        </xdr:nvSpPr>
        <xdr:spPr>
          <a:xfrm>
            <a:off x="2540206"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16" name="Ellipse 315">
            <a:extLst>
              <a:ext uri="{FF2B5EF4-FFF2-40B4-BE49-F238E27FC236}">
                <a16:creationId xmlns:a16="http://schemas.microsoft.com/office/drawing/2014/main" id="{00000000-0008-0000-0B00-00003C010000}"/>
              </a:ext>
            </a:extLst>
          </xdr:cNvPr>
          <xdr:cNvSpPr/>
        </xdr:nvSpPr>
        <xdr:spPr>
          <a:xfrm>
            <a:off x="2649311"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17" name="Ellipse 316">
            <a:extLst>
              <a:ext uri="{FF2B5EF4-FFF2-40B4-BE49-F238E27FC236}">
                <a16:creationId xmlns:a16="http://schemas.microsoft.com/office/drawing/2014/main" id="{00000000-0008-0000-0B00-00003D010000}"/>
              </a:ext>
            </a:extLst>
          </xdr:cNvPr>
          <xdr:cNvSpPr/>
        </xdr:nvSpPr>
        <xdr:spPr>
          <a:xfrm>
            <a:off x="2575968"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18" name="Ellipse 317">
            <a:extLst>
              <a:ext uri="{FF2B5EF4-FFF2-40B4-BE49-F238E27FC236}">
                <a16:creationId xmlns:a16="http://schemas.microsoft.com/office/drawing/2014/main" id="{00000000-0008-0000-0B00-00003E010000}"/>
              </a:ext>
            </a:extLst>
          </xdr:cNvPr>
          <xdr:cNvSpPr/>
        </xdr:nvSpPr>
        <xdr:spPr>
          <a:xfrm>
            <a:off x="2392807"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19" name="Ellipse 318">
            <a:extLst>
              <a:ext uri="{FF2B5EF4-FFF2-40B4-BE49-F238E27FC236}">
                <a16:creationId xmlns:a16="http://schemas.microsoft.com/office/drawing/2014/main" id="{00000000-0008-0000-0B00-00003F010000}"/>
              </a:ext>
            </a:extLst>
          </xdr:cNvPr>
          <xdr:cNvSpPr/>
        </xdr:nvSpPr>
        <xdr:spPr>
          <a:xfrm>
            <a:off x="2466150"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20" name="Ellipse 319">
            <a:extLst>
              <a:ext uri="{FF2B5EF4-FFF2-40B4-BE49-F238E27FC236}">
                <a16:creationId xmlns:a16="http://schemas.microsoft.com/office/drawing/2014/main" id="{00000000-0008-0000-0B00-000040010000}"/>
              </a:ext>
            </a:extLst>
          </xdr:cNvPr>
          <xdr:cNvSpPr/>
        </xdr:nvSpPr>
        <xdr:spPr>
          <a:xfrm>
            <a:off x="2612835"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21" name="Ellipse 320">
            <a:extLst>
              <a:ext uri="{FF2B5EF4-FFF2-40B4-BE49-F238E27FC236}">
                <a16:creationId xmlns:a16="http://schemas.microsoft.com/office/drawing/2014/main" id="{00000000-0008-0000-0B00-000041010000}"/>
              </a:ext>
            </a:extLst>
          </xdr:cNvPr>
          <xdr:cNvSpPr/>
        </xdr:nvSpPr>
        <xdr:spPr>
          <a:xfrm>
            <a:off x="2539492"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editAs="absolute">
    <xdr:from>
      <xdr:col>4</xdr:col>
      <xdr:colOff>377805</xdr:colOff>
      <xdr:row>10</xdr:row>
      <xdr:rowOff>55893</xdr:rowOff>
    </xdr:from>
    <xdr:to>
      <xdr:col>4</xdr:col>
      <xdr:colOff>779890</xdr:colOff>
      <xdr:row>12</xdr:row>
      <xdr:rowOff>154</xdr:rowOff>
    </xdr:to>
    <xdr:grpSp>
      <xdr:nvGrpSpPr>
        <xdr:cNvPr id="322" name="Groupe 321">
          <a:extLst>
            <a:ext uri="{FF2B5EF4-FFF2-40B4-BE49-F238E27FC236}">
              <a16:creationId xmlns:a16="http://schemas.microsoft.com/office/drawing/2014/main" id="{00000000-0008-0000-0B00-000042010000}"/>
            </a:ext>
          </a:extLst>
        </xdr:cNvPr>
        <xdr:cNvGrpSpPr/>
      </xdr:nvGrpSpPr>
      <xdr:grpSpPr>
        <a:xfrm>
          <a:off x="3425805" y="1960893"/>
          <a:ext cx="402085" cy="325261"/>
          <a:chOff x="2319226" y="3287672"/>
          <a:chExt cx="402085" cy="325261"/>
        </a:xfrm>
      </xdr:grpSpPr>
      <xdr:sp macro="" textlink="">
        <xdr:nvSpPr>
          <xdr:cNvPr id="323" name="Ellipse 322">
            <a:extLst>
              <a:ext uri="{FF2B5EF4-FFF2-40B4-BE49-F238E27FC236}">
                <a16:creationId xmlns:a16="http://schemas.microsoft.com/office/drawing/2014/main" id="{00000000-0008-0000-0B00-000043010000}"/>
              </a:ext>
            </a:extLst>
          </xdr:cNvPr>
          <xdr:cNvSpPr/>
        </xdr:nvSpPr>
        <xdr:spPr>
          <a:xfrm>
            <a:off x="2392569"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24" name="Ellipse 323">
            <a:extLst>
              <a:ext uri="{FF2B5EF4-FFF2-40B4-BE49-F238E27FC236}">
                <a16:creationId xmlns:a16="http://schemas.microsoft.com/office/drawing/2014/main" id="{00000000-0008-0000-0B00-000044010000}"/>
              </a:ext>
            </a:extLst>
          </xdr:cNvPr>
          <xdr:cNvSpPr/>
        </xdr:nvSpPr>
        <xdr:spPr>
          <a:xfrm>
            <a:off x="2465911"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25" name="Ellipse 324">
            <a:extLst>
              <a:ext uri="{FF2B5EF4-FFF2-40B4-BE49-F238E27FC236}">
                <a16:creationId xmlns:a16="http://schemas.microsoft.com/office/drawing/2014/main" id="{00000000-0008-0000-0B00-000045010000}"/>
              </a:ext>
            </a:extLst>
          </xdr:cNvPr>
          <xdr:cNvSpPr/>
        </xdr:nvSpPr>
        <xdr:spPr>
          <a:xfrm>
            <a:off x="2319226"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26" name="Ellipse 325">
            <a:extLst>
              <a:ext uri="{FF2B5EF4-FFF2-40B4-BE49-F238E27FC236}">
                <a16:creationId xmlns:a16="http://schemas.microsoft.com/office/drawing/2014/main" id="{00000000-0008-0000-0B00-000046010000}"/>
              </a:ext>
            </a:extLst>
          </xdr:cNvPr>
          <xdr:cNvSpPr/>
        </xdr:nvSpPr>
        <xdr:spPr>
          <a:xfrm>
            <a:off x="2428764"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27" name="Ellipse 326">
            <a:extLst>
              <a:ext uri="{FF2B5EF4-FFF2-40B4-BE49-F238E27FC236}">
                <a16:creationId xmlns:a16="http://schemas.microsoft.com/office/drawing/2014/main" id="{00000000-0008-0000-0B00-000047010000}"/>
              </a:ext>
            </a:extLst>
          </xdr:cNvPr>
          <xdr:cNvSpPr/>
        </xdr:nvSpPr>
        <xdr:spPr>
          <a:xfrm>
            <a:off x="2502106"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28" name="Ellipse 327">
            <a:extLst>
              <a:ext uri="{FF2B5EF4-FFF2-40B4-BE49-F238E27FC236}">
                <a16:creationId xmlns:a16="http://schemas.microsoft.com/office/drawing/2014/main" id="{00000000-0008-0000-0B00-000048010000}"/>
              </a:ext>
            </a:extLst>
          </xdr:cNvPr>
          <xdr:cNvSpPr/>
        </xdr:nvSpPr>
        <xdr:spPr>
          <a:xfrm>
            <a:off x="2355421"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29" name="Ellipse 328">
            <a:extLst>
              <a:ext uri="{FF2B5EF4-FFF2-40B4-BE49-F238E27FC236}">
                <a16:creationId xmlns:a16="http://schemas.microsoft.com/office/drawing/2014/main" id="{00000000-0008-0000-0B00-000049010000}"/>
              </a:ext>
            </a:extLst>
          </xdr:cNvPr>
          <xdr:cNvSpPr/>
        </xdr:nvSpPr>
        <xdr:spPr>
          <a:xfrm>
            <a:off x="2393521"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30" name="Ellipse 329">
            <a:extLst>
              <a:ext uri="{FF2B5EF4-FFF2-40B4-BE49-F238E27FC236}">
                <a16:creationId xmlns:a16="http://schemas.microsoft.com/office/drawing/2014/main" id="{00000000-0008-0000-0B00-00004A010000}"/>
              </a:ext>
            </a:extLst>
          </xdr:cNvPr>
          <xdr:cNvSpPr/>
        </xdr:nvSpPr>
        <xdr:spPr>
          <a:xfrm>
            <a:off x="2466864"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31" name="Ellipse 330">
            <a:extLst>
              <a:ext uri="{FF2B5EF4-FFF2-40B4-BE49-F238E27FC236}">
                <a16:creationId xmlns:a16="http://schemas.microsoft.com/office/drawing/2014/main" id="{00000000-0008-0000-0B00-00004B010000}"/>
              </a:ext>
            </a:extLst>
          </xdr:cNvPr>
          <xdr:cNvSpPr/>
        </xdr:nvSpPr>
        <xdr:spPr>
          <a:xfrm>
            <a:off x="2429716"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32" name="Ellipse 331">
            <a:extLst>
              <a:ext uri="{FF2B5EF4-FFF2-40B4-BE49-F238E27FC236}">
                <a16:creationId xmlns:a16="http://schemas.microsoft.com/office/drawing/2014/main" id="{00000000-0008-0000-0B00-00004C010000}"/>
              </a:ext>
            </a:extLst>
          </xdr:cNvPr>
          <xdr:cNvSpPr/>
        </xdr:nvSpPr>
        <xdr:spPr>
          <a:xfrm>
            <a:off x="2502626"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33" name="Ellipse 332">
            <a:extLst>
              <a:ext uri="{FF2B5EF4-FFF2-40B4-BE49-F238E27FC236}">
                <a16:creationId xmlns:a16="http://schemas.microsoft.com/office/drawing/2014/main" id="{00000000-0008-0000-0B00-00004D010000}"/>
              </a:ext>
            </a:extLst>
          </xdr:cNvPr>
          <xdr:cNvSpPr/>
        </xdr:nvSpPr>
        <xdr:spPr>
          <a:xfrm>
            <a:off x="2356374"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34" name="Ellipse 333">
            <a:extLst>
              <a:ext uri="{FF2B5EF4-FFF2-40B4-BE49-F238E27FC236}">
                <a16:creationId xmlns:a16="http://schemas.microsoft.com/office/drawing/2014/main" id="{00000000-0008-0000-0B00-00004E010000}"/>
              </a:ext>
            </a:extLst>
          </xdr:cNvPr>
          <xdr:cNvSpPr/>
        </xdr:nvSpPr>
        <xdr:spPr>
          <a:xfrm>
            <a:off x="2612163"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35" name="Ellipse 334">
            <a:extLst>
              <a:ext uri="{FF2B5EF4-FFF2-40B4-BE49-F238E27FC236}">
                <a16:creationId xmlns:a16="http://schemas.microsoft.com/office/drawing/2014/main" id="{00000000-0008-0000-0B00-00004F010000}"/>
              </a:ext>
            </a:extLst>
          </xdr:cNvPr>
          <xdr:cNvSpPr/>
        </xdr:nvSpPr>
        <xdr:spPr>
          <a:xfrm>
            <a:off x="2322014" y="3540597"/>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36" name="Ellipse 335">
            <a:extLst>
              <a:ext uri="{FF2B5EF4-FFF2-40B4-BE49-F238E27FC236}">
                <a16:creationId xmlns:a16="http://schemas.microsoft.com/office/drawing/2014/main" id="{00000000-0008-0000-0B00-000050010000}"/>
              </a:ext>
            </a:extLst>
          </xdr:cNvPr>
          <xdr:cNvSpPr/>
        </xdr:nvSpPr>
        <xdr:spPr>
          <a:xfrm>
            <a:off x="2539254" y="34132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37" name="Ellipse 336">
            <a:extLst>
              <a:ext uri="{FF2B5EF4-FFF2-40B4-BE49-F238E27FC236}">
                <a16:creationId xmlns:a16="http://schemas.microsoft.com/office/drawing/2014/main" id="{00000000-0008-0000-0B00-000051010000}"/>
              </a:ext>
            </a:extLst>
          </xdr:cNvPr>
          <xdr:cNvSpPr/>
        </xdr:nvSpPr>
        <xdr:spPr>
          <a:xfrm>
            <a:off x="2648791"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38" name="Ellipse 337">
            <a:extLst>
              <a:ext uri="{FF2B5EF4-FFF2-40B4-BE49-F238E27FC236}">
                <a16:creationId xmlns:a16="http://schemas.microsoft.com/office/drawing/2014/main" id="{00000000-0008-0000-0B00-000052010000}"/>
              </a:ext>
            </a:extLst>
          </xdr:cNvPr>
          <xdr:cNvSpPr/>
        </xdr:nvSpPr>
        <xdr:spPr>
          <a:xfrm>
            <a:off x="2575449" y="33501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39" name="Ellipse 338">
            <a:extLst>
              <a:ext uri="{FF2B5EF4-FFF2-40B4-BE49-F238E27FC236}">
                <a16:creationId xmlns:a16="http://schemas.microsoft.com/office/drawing/2014/main" id="{00000000-0008-0000-0B00-000053010000}"/>
              </a:ext>
            </a:extLst>
          </xdr:cNvPr>
          <xdr:cNvSpPr/>
        </xdr:nvSpPr>
        <xdr:spPr>
          <a:xfrm>
            <a:off x="2613549"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0" name="Ellipse 339">
            <a:extLst>
              <a:ext uri="{FF2B5EF4-FFF2-40B4-BE49-F238E27FC236}">
                <a16:creationId xmlns:a16="http://schemas.microsoft.com/office/drawing/2014/main" id="{00000000-0008-0000-0B00-000054010000}"/>
              </a:ext>
            </a:extLst>
          </xdr:cNvPr>
          <xdr:cNvSpPr/>
        </xdr:nvSpPr>
        <xdr:spPr>
          <a:xfrm>
            <a:off x="2540206" y="353958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1" name="Ellipse 340">
            <a:extLst>
              <a:ext uri="{FF2B5EF4-FFF2-40B4-BE49-F238E27FC236}">
                <a16:creationId xmlns:a16="http://schemas.microsoft.com/office/drawing/2014/main" id="{00000000-0008-0000-0B00-000055010000}"/>
              </a:ext>
            </a:extLst>
          </xdr:cNvPr>
          <xdr:cNvSpPr/>
        </xdr:nvSpPr>
        <xdr:spPr>
          <a:xfrm>
            <a:off x="2649311"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2" name="Ellipse 341">
            <a:extLst>
              <a:ext uri="{FF2B5EF4-FFF2-40B4-BE49-F238E27FC236}">
                <a16:creationId xmlns:a16="http://schemas.microsoft.com/office/drawing/2014/main" id="{00000000-0008-0000-0B00-000056010000}"/>
              </a:ext>
            </a:extLst>
          </xdr:cNvPr>
          <xdr:cNvSpPr/>
        </xdr:nvSpPr>
        <xdr:spPr>
          <a:xfrm>
            <a:off x="2575968" y="347642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3" name="Ellipse 342">
            <a:extLst>
              <a:ext uri="{FF2B5EF4-FFF2-40B4-BE49-F238E27FC236}">
                <a16:creationId xmlns:a16="http://schemas.microsoft.com/office/drawing/2014/main" id="{00000000-0008-0000-0B00-000057010000}"/>
              </a:ext>
            </a:extLst>
          </xdr:cNvPr>
          <xdr:cNvSpPr/>
        </xdr:nvSpPr>
        <xdr:spPr>
          <a:xfrm>
            <a:off x="2392807"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4" name="Ellipse 343">
            <a:extLst>
              <a:ext uri="{FF2B5EF4-FFF2-40B4-BE49-F238E27FC236}">
                <a16:creationId xmlns:a16="http://schemas.microsoft.com/office/drawing/2014/main" id="{00000000-0008-0000-0B00-000058010000}"/>
              </a:ext>
            </a:extLst>
          </xdr:cNvPr>
          <xdr:cNvSpPr/>
        </xdr:nvSpPr>
        <xdr:spPr>
          <a:xfrm>
            <a:off x="2466150"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5" name="Ellipse 344">
            <a:extLst>
              <a:ext uri="{FF2B5EF4-FFF2-40B4-BE49-F238E27FC236}">
                <a16:creationId xmlns:a16="http://schemas.microsoft.com/office/drawing/2014/main" id="{00000000-0008-0000-0B00-000059010000}"/>
              </a:ext>
            </a:extLst>
          </xdr:cNvPr>
          <xdr:cNvSpPr/>
        </xdr:nvSpPr>
        <xdr:spPr>
          <a:xfrm>
            <a:off x="2612835"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6" name="Ellipse 345">
            <a:extLst>
              <a:ext uri="{FF2B5EF4-FFF2-40B4-BE49-F238E27FC236}">
                <a16:creationId xmlns:a16="http://schemas.microsoft.com/office/drawing/2014/main" id="{00000000-0008-0000-0B00-00005A010000}"/>
              </a:ext>
            </a:extLst>
          </xdr:cNvPr>
          <xdr:cNvSpPr/>
        </xdr:nvSpPr>
        <xdr:spPr>
          <a:xfrm>
            <a:off x="2539492" y="328767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editAs="absolute">
    <xdr:from>
      <xdr:col>4</xdr:col>
      <xdr:colOff>460562</xdr:colOff>
      <xdr:row>6</xdr:row>
      <xdr:rowOff>51546</xdr:rowOff>
    </xdr:from>
    <xdr:to>
      <xdr:col>4</xdr:col>
      <xdr:colOff>898842</xdr:colOff>
      <xdr:row>7</xdr:row>
      <xdr:rowOff>185296</xdr:rowOff>
    </xdr:to>
    <xdr:grpSp>
      <xdr:nvGrpSpPr>
        <xdr:cNvPr id="347" name="Groupe 346">
          <a:extLst>
            <a:ext uri="{FF2B5EF4-FFF2-40B4-BE49-F238E27FC236}">
              <a16:creationId xmlns:a16="http://schemas.microsoft.com/office/drawing/2014/main" id="{00000000-0008-0000-0B00-00005B010000}"/>
            </a:ext>
          </a:extLst>
        </xdr:cNvPr>
        <xdr:cNvGrpSpPr/>
      </xdr:nvGrpSpPr>
      <xdr:grpSpPr>
        <a:xfrm>
          <a:off x="3508562" y="1194546"/>
          <a:ext cx="438280" cy="324250"/>
          <a:chOff x="8382000" y="1143000"/>
          <a:chExt cx="4382795" cy="3227450"/>
        </a:xfrm>
      </xdr:grpSpPr>
      <xdr:sp macro="" textlink="">
        <xdr:nvSpPr>
          <xdr:cNvPr id="348" name="Ellipse 347">
            <a:extLst>
              <a:ext uri="{FF2B5EF4-FFF2-40B4-BE49-F238E27FC236}">
                <a16:creationId xmlns:a16="http://schemas.microsoft.com/office/drawing/2014/main" id="{00000000-0008-0000-0B00-00005C010000}"/>
              </a:ext>
            </a:extLst>
          </xdr:cNvPr>
          <xdr:cNvSpPr/>
        </xdr:nvSpPr>
        <xdr:spPr>
          <a:xfrm>
            <a:off x="911542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49" name="Ellipse 348">
            <a:extLst>
              <a:ext uri="{FF2B5EF4-FFF2-40B4-BE49-F238E27FC236}">
                <a16:creationId xmlns:a16="http://schemas.microsoft.com/office/drawing/2014/main" id="{00000000-0008-0000-0B00-00005D010000}"/>
              </a:ext>
            </a:extLst>
          </xdr:cNvPr>
          <xdr:cNvSpPr/>
        </xdr:nvSpPr>
        <xdr:spPr>
          <a:xfrm>
            <a:off x="984885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0" name="Ellipse 349">
            <a:extLst>
              <a:ext uri="{FF2B5EF4-FFF2-40B4-BE49-F238E27FC236}">
                <a16:creationId xmlns:a16="http://schemas.microsoft.com/office/drawing/2014/main" id="{00000000-0008-0000-0B00-00005E010000}"/>
              </a:ext>
            </a:extLst>
          </xdr:cNvPr>
          <xdr:cNvSpPr/>
        </xdr:nvSpPr>
        <xdr:spPr>
          <a:xfrm>
            <a:off x="838200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1" name="Ellipse 350">
            <a:extLst>
              <a:ext uri="{FF2B5EF4-FFF2-40B4-BE49-F238E27FC236}">
                <a16:creationId xmlns:a16="http://schemas.microsoft.com/office/drawing/2014/main" id="{00000000-0008-0000-0B00-00005F010000}"/>
              </a:ext>
            </a:extLst>
          </xdr:cNvPr>
          <xdr:cNvSpPr/>
        </xdr:nvSpPr>
        <xdr:spPr>
          <a:xfrm>
            <a:off x="947737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2" name="Ellipse 351">
            <a:extLst>
              <a:ext uri="{FF2B5EF4-FFF2-40B4-BE49-F238E27FC236}">
                <a16:creationId xmlns:a16="http://schemas.microsoft.com/office/drawing/2014/main" id="{00000000-0008-0000-0B00-000060010000}"/>
              </a:ext>
            </a:extLst>
          </xdr:cNvPr>
          <xdr:cNvSpPr/>
        </xdr:nvSpPr>
        <xdr:spPr>
          <a:xfrm>
            <a:off x="1021080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3" name="Ellipse 352">
            <a:extLst>
              <a:ext uri="{FF2B5EF4-FFF2-40B4-BE49-F238E27FC236}">
                <a16:creationId xmlns:a16="http://schemas.microsoft.com/office/drawing/2014/main" id="{00000000-0008-0000-0B00-000061010000}"/>
              </a:ext>
            </a:extLst>
          </xdr:cNvPr>
          <xdr:cNvSpPr/>
        </xdr:nvSpPr>
        <xdr:spPr>
          <a:xfrm>
            <a:off x="87439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4" name="Ellipse 353">
            <a:extLst>
              <a:ext uri="{FF2B5EF4-FFF2-40B4-BE49-F238E27FC236}">
                <a16:creationId xmlns:a16="http://schemas.microsoft.com/office/drawing/2014/main" id="{00000000-0008-0000-0B00-000062010000}"/>
              </a:ext>
            </a:extLst>
          </xdr:cNvPr>
          <xdr:cNvSpPr/>
        </xdr:nvSpPr>
        <xdr:spPr>
          <a:xfrm>
            <a:off x="912495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5" name="Ellipse 354">
            <a:extLst>
              <a:ext uri="{FF2B5EF4-FFF2-40B4-BE49-F238E27FC236}">
                <a16:creationId xmlns:a16="http://schemas.microsoft.com/office/drawing/2014/main" id="{00000000-0008-0000-0B00-000063010000}"/>
              </a:ext>
            </a:extLst>
          </xdr:cNvPr>
          <xdr:cNvSpPr/>
        </xdr:nvSpPr>
        <xdr:spPr>
          <a:xfrm>
            <a:off x="985837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6" name="Ellipse 355">
            <a:extLst>
              <a:ext uri="{FF2B5EF4-FFF2-40B4-BE49-F238E27FC236}">
                <a16:creationId xmlns:a16="http://schemas.microsoft.com/office/drawing/2014/main" id="{00000000-0008-0000-0B00-000064010000}"/>
              </a:ext>
            </a:extLst>
          </xdr:cNvPr>
          <xdr:cNvSpPr/>
        </xdr:nvSpPr>
        <xdr:spPr>
          <a:xfrm>
            <a:off x="948690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7" name="Ellipse 356">
            <a:extLst>
              <a:ext uri="{FF2B5EF4-FFF2-40B4-BE49-F238E27FC236}">
                <a16:creationId xmlns:a16="http://schemas.microsoft.com/office/drawing/2014/main" id="{00000000-0008-0000-0B00-000065010000}"/>
              </a:ext>
            </a:extLst>
          </xdr:cNvPr>
          <xdr:cNvSpPr/>
        </xdr:nvSpPr>
        <xdr:spPr>
          <a:xfrm>
            <a:off x="1021599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8" name="Ellipse 357">
            <a:extLst>
              <a:ext uri="{FF2B5EF4-FFF2-40B4-BE49-F238E27FC236}">
                <a16:creationId xmlns:a16="http://schemas.microsoft.com/office/drawing/2014/main" id="{00000000-0008-0000-0B00-000066010000}"/>
              </a:ext>
            </a:extLst>
          </xdr:cNvPr>
          <xdr:cNvSpPr/>
        </xdr:nvSpPr>
        <xdr:spPr>
          <a:xfrm>
            <a:off x="875347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59" name="Ellipse 358">
            <a:extLst>
              <a:ext uri="{FF2B5EF4-FFF2-40B4-BE49-F238E27FC236}">
                <a16:creationId xmlns:a16="http://schemas.microsoft.com/office/drawing/2014/main" id="{00000000-0008-0000-0B00-000067010000}"/>
              </a:ext>
            </a:extLst>
          </xdr:cNvPr>
          <xdr:cNvSpPr/>
        </xdr:nvSpPr>
        <xdr:spPr>
          <a:xfrm>
            <a:off x="1131137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0" name="Ellipse 359">
            <a:extLst>
              <a:ext uri="{FF2B5EF4-FFF2-40B4-BE49-F238E27FC236}">
                <a16:creationId xmlns:a16="http://schemas.microsoft.com/office/drawing/2014/main" id="{00000000-0008-0000-0B00-000068010000}"/>
              </a:ext>
            </a:extLst>
          </xdr:cNvPr>
          <xdr:cNvSpPr/>
        </xdr:nvSpPr>
        <xdr:spPr>
          <a:xfrm>
            <a:off x="1204479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1" name="Ellipse 360">
            <a:extLst>
              <a:ext uri="{FF2B5EF4-FFF2-40B4-BE49-F238E27FC236}">
                <a16:creationId xmlns:a16="http://schemas.microsoft.com/office/drawing/2014/main" id="{00000000-0008-0000-0B00-000069010000}"/>
              </a:ext>
            </a:extLst>
          </xdr:cNvPr>
          <xdr:cNvSpPr/>
        </xdr:nvSpPr>
        <xdr:spPr>
          <a:xfrm>
            <a:off x="1058227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2" name="Ellipse 361">
            <a:extLst>
              <a:ext uri="{FF2B5EF4-FFF2-40B4-BE49-F238E27FC236}">
                <a16:creationId xmlns:a16="http://schemas.microsoft.com/office/drawing/2014/main" id="{00000000-0008-0000-0B00-00006A010000}"/>
              </a:ext>
            </a:extLst>
          </xdr:cNvPr>
          <xdr:cNvSpPr/>
        </xdr:nvSpPr>
        <xdr:spPr>
          <a:xfrm>
            <a:off x="116776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3" name="Ellipse 362">
            <a:extLst>
              <a:ext uri="{FF2B5EF4-FFF2-40B4-BE49-F238E27FC236}">
                <a16:creationId xmlns:a16="http://schemas.microsoft.com/office/drawing/2014/main" id="{00000000-0008-0000-0B00-00006B010000}"/>
              </a:ext>
            </a:extLst>
          </xdr:cNvPr>
          <xdr:cNvSpPr/>
        </xdr:nvSpPr>
        <xdr:spPr>
          <a:xfrm>
            <a:off x="1094422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4" name="Ellipse 363">
            <a:extLst>
              <a:ext uri="{FF2B5EF4-FFF2-40B4-BE49-F238E27FC236}">
                <a16:creationId xmlns:a16="http://schemas.microsoft.com/office/drawing/2014/main" id="{00000000-0008-0000-0B00-00006C010000}"/>
              </a:ext>
            </a:extLst>
          </xdr:cNvPr>
          <xdr:cNvSpPr/>
        </xdr:nvSpPr>
        <xdr:spPr>
          <a:xfrm>
            <a:off x="1132522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5" name="Ellipse 364">
            <a:extLst>
              <a:ext uri="{FF2B5EF4-FFF2-40B4-BE49-F238E27FC236}">
                <a16:creationId xmlns:a16="http://schemas.microsoft.com/office/drawing/2014/main" id="{00000000-0008-0000-0B00-00006D010000}"/>
              </a:ext>
            </a:extLst>
          </xdr:cNvPr>
          <xdr:cNvSpPr/>
        </xdr:nvSpPr>
        <xdr:spPr>
          <a:xfrm>
            <a:off x="1059180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6" name="Ellipse 365">
            <a:extLst>
              <a:ext uri="{FF2B5EF4-FFF2-40B4-BE49-F238E27FC236}">
                <a16:creationId xmlns:a16="http://schemas.microsoft.com/office/drawing/2014/main" id="{00000000-0008-0000-0B00-00006E010000}"/>
              </a:ext>
            </a:extLst>
          </xdr:cNvPr>
          <xdr:cNvSpPr/>
        </xdr:nvSpPr>
        <xdr:spPr>
          <a:xfrm>
            <a:off x="1168284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7" name="Ellipse 366">
            <a:extLst>
              <a:ext uri="{FF2B5EF4-FFF2-40B4-BE49-F238E27FC236}">
                <a16:creationId xmlns:a16="http://schemas.microsoft.com/office/drawing/2014/main" id="{00000000-0008-0000-0B00-00006F010000}"/>
              </a:ext>
            </a:extLst>
          </xdr:cNvPr>
          <xdr:cNvSpPr/>
        </xdr:nvSpPr>
        <xdr:spPr>
          <a:xfrm>
            <a:off x="1094942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8" name="Ellipse 367">
            <a:extLst>
              <a:ext uri="{FF2B5EF4-FFF2-40B4-BE49-F238E27FC236}">
                <a16:creationId xmlns:a16="http://schemas.microsoft.com/office/drawing/2014/main" id="{00000000-0008-0000-0B00-000070010000}"/>
              </a:ext>
            </a:extLst>
          </xdr:cNvPr>
          <xdr:cNvSpPr/>
        </xdr:nvSpPr>
        <xdr:spPr>
          <a:xfrm>
            <a:off x="911781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69" name="Ellipse 368">
            <a:extLst>
              <a:ext uri="{FF2B5EF4-FFF2-40B4-BE49-F238E27FC236}">
                <a16:creationId xmlns:a16="http://schemas.microsoft.com/office/drawing/2014/main" id="{00000000-0008-0000-0B00-000071010000}"/>
              </a:ext>
            </a:extLst>
          </xdr:cNvPr>
          <xdr:cNvSpPr/>
        </xdr:nvSpPr>
        <xdr:spPr>
          <a:xfrm>
            <a:off x="985123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0" name="Ellipse 369">
            <a:extLst>
              <a:ext uri="{FF2B5EF4-FFF2-40B4-BE49-F238E27FC236}">
                <a16:creationId xmlns:a16="http://schemas.microsoft.com/office/drawing/2014/main" id="{00000000-0008-0000-0B00-000072010000}"/>
              </a:ext>
            </a:extLst>
          </xdr:cNvPr>
          <xdr:cNvSpPr/>
        </xdr:nvSpPr>
        <xdr:spPr>
          <a:xfrm>
            <a:off x="1131808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1" name="Ellipse 370">
            <a:extLst>
              <a:ext uri="{FF2B5EF4-FFF2-40B4-BE49-F238E27FC236}">
                <a16:creationId xmlns:a16="http://schemas.microsoft.com/office/drawing/2014/main" id="{00000000-0008-0000-0B00-000073010000}"/>
              </a:ext>
            </a:extLst>
          </xdr:cNvPr>
          <xdr:cNvSpPr/>
        </xdr:nvSpPr>
        <xdr:spPr>
          <a:xfrm>
            <a:off x="1058466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editAs="absolute">
    <xdr:from>
      <xdr:col>5</xdr:col>
      <xdr:colOff>12336</xdr:colOff>
      <xdr:row>6</xdr:row>
      <xdr:rowOff>51545</xdr:rowOff>
    </xdr:from>
    <xdr:to>
      <xdr:col>5</xdr:col>
      <xdr:colOff>450616</xdr:colOff>
      <xdr:row>7</xdr:row>
      <xdr:rowOff>185295</xdr:rowOff>
    </xdr:to>
    <xdr:grpSp>
      <xdr:nvGrpSpPr>
        <xdr:cNvPr id="372" name="Groupe 371">
          <a:extLst>
            <a:ext uri="{FF2B5EF4-FFF2-40B4-BE49-F238E27FC236}">
              <a16:creationId xmlns:a16="http://schemas.microsoft.com/office/drawing/2014/main" id="{00000000-0008-0000-0B00-000074010000}"/>
            </a:ext>
          </a:extLst>
        </xdr:cNvPr>
        <xdr:cNvGrpSpPr/>
      </xdr:nvGrpSpPr>
      <xdr:grpSpPr>
        <a:xfrm>
          <a:off x="4108086" y="1194545"/>
          <a:ext cx="438280" cy="324250"/>
          <a:chOff x="8382000" y="1143000"/>
          <a:chExt cx="4382795" cy="3227450"/>
        </a:xfrm>
      </xdr:grpSpPr>
      <xdr:sp macro="" textlink="">
        <xdr:nvSpPr>
          <xdr:cNvPr id="373" name="Ellipse 372">
            <a:extLst>
              <a:ext uri="{FF2B5EF4-FFF2-40B4-BE49-F238E27FC236}">
                <a16:creationId xmlns:a16="http://schemas.microsoft.com/office/drawing/2014/main" id="{00000000-0008-0000-0B00-000075010000}"/>
              </a:ext>
            </a:extLst>
          </xdr:cNvPr>
          <xdr:cNvSpPr/>
        </xdr:nvSpPr>
        <xdr:spPr>
          <a:xfrm>
            <a:off x="911542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4" name="Ellipse 373">
            <a:extLst>
              <a:ext uri="{FF2B5EF4-FFF2-40B4-BE49-F238E27FC236}">
                <a16:creationId xmlns:a16="http://schemas.microsoft.com/office/drawing/2014/main" id="{00000000-0008-0000-0B00-000076010000}"/>
              </a:ext>
            </a:extLst>
          </xdr:cNvPr>
          <xdr:cNvSpPr/>
        </xdr:nvSpPr>
        <xdr:spPr>
          <a:xfrm>
            <a:off x="984885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5" name="Ellipse 374">
            <a:extLst>
              <a:ext uri="{FF2B5EF4-FFF2-40B4-BE49-F238E27FC236}">
                <a16:creationId xmlns:a16="http://schemas.microsoft.com/office/drawing/2014/main" id="{00000000-0008-0000-0B00-000077010000}"/>
              </a:ext>
            </a:extLst>
          </xdr:cNvPr>
          <xdr:cNvSpPr/>
        </xdr:nvSpPr>
        <xdr:spPr>
          <a:xfrm>
            <a:off x="838200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6" name="Ellipse 375">
            <a:extLst>
              <a:ext uri="{FF2B5EF4-FFF2-40B4-BE49-F238E27FC236}">
                <a16:creationId xmlns:a16="http://schemas.microsoft.com/office/drawing/2014/main" id="{00000000-0008-0000-0B00-000078010000}"/>
              </a:ext>
            </a:extLst>
          </xdr:cNvPr>
          <xdr:cNvSpPr/>
        </xdr:nvSpPr>
        <xdr:spPr>
          <a:xfrm>
            <a:off x="947737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7" name="Ellipse 376">
            <a:extLst>
              <a:ext uri="{FF2B5EF4-FFF2-40B4-BE49-F238E27FC236}">
                <a16:creationId xmlns:a16="http://schemas.microsoft.com/office/drawing/2014/main" id="{00000000-0008-0000-0B00-000079010000}"/>
              </a:ext>
            </a:extLst>
          </xdr:cNvPr>
          <xdr:cNvSpPr/>
        </xdr:nvSpPr>
        <xdr:spPr>
          <a:xfrm>
            <a:off x="1021080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8" name="Ellipse 377">
            <a:extLst>
              <a:ext uri="{FF2B5EF4-FFF2-40B4-BE49-F238E27FC236}">
                <a16:creationId xmlns:a16="http://schemas.microsoft.com/office/drawing/2014/main" id="{00000000-0008-0000-0B00-00007A010000}"/>
              </a:ext>
            </a:extLst>
          </xdr:cNvPr>
          <xdr:cNvSpPr/>
        </xdr:nvSpPr>
        <xdr:spPr>
          <a:xfrm>
            <a:off x="87439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79" name="Ellipse 378">
            <a:extLst>
              <a:ext uri="{FF2B5EF4-FFF2-40B4-BE49-F238E27FC236}">
                <a16:creationId xmlns:a16="http://schemas.microsoft.com/office/drawing/2014/main" id="{00000000-0008-0000-0B00-00007B010000}"/>
              </a:ext>
            </a:extLst>
          </xdr:cNvPr>
          <xdr:cNvSpPr/>
        </xdr:nvSpPr>
        <xdr:spPr>
          <a:xfrm>
            <a:off x="912495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0" name="Ellipse 379">
            <a:extLst>
              <a:ext uri="{FF2B5EF4-FFF2-40B4-BE49-F238E27FC236}">
                <a16:creationId xmlns:a16="http://schemas.microsoft.com/office/drawing/2014/main" id="{00000000-0008-0000-0B00-00007C010000}"/>
              </a:ext>
            </a:extLst>
          </xdr:cNvPr>
          <xdr:cNvSpPr/>
        </xdr:nvSpPr>
        <xdr:spPr>
          <a:xfrm>
            <a:off x="985837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1" name="Ellipse 380">
            <a:extLst>
              <a:ext uri="{FF2B5EF4-FFF2-40B4-BE49-F238E27FC236}">
                <a16:creationId xmlns:a16="http://schemas.microsoft.com/office/drawing/2014/main" id="{00000000-0008-0000-0B00-00007D010000}"/>
              </a:ext>
            </a:extLst>
          </xdr:cNvPr>
          <xdr:cNvSpPr/>
        </xdr:nvSpPr>
        <xdr:spPr>
          <a:xfrm>
            <a:off x="948690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2" name="Ellipse 381">
            <a:extLst>
              <a:ext uri="{FF2B5EF4-FFF2-40B4-BE49-F238E27FC236}">
                <a16:creationId xmlns:a16="http://schemas.microsoft.com/office/drawing/2014/main" id="{00000000-0008-0000-0B00-00007E010000}"/>
              </a:ext>
            </a:extLst>
          </xdr:cNvPr>
          <xdr:cNvSpPr/>
        </xdr:nvSpPr>
        <xdr:spPr>
          <a:xfrm>
            <a:off x="1021599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3" name="Ellipse 382">
            <a:extLst>
              <a:ext uri="{FF2B5EF4-FFF2-40B4-BE49-F238E27FC236}">
                <a16:creationId xmlns:a16="http://schemas.microsoft.com/office/drawing/2014/main" id="{00000000-0008-0000-0B00-00007F010000}"/>
              </a:ext>
            </a:extLst>
          </xdr:cNvPr>
          <xdr:cNvSpPr/>
        </xdr:nvSpPr>
        <xdr:spPr>
          <a:xfrm>
            <a:off x="875347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4" name="Ellipse 383">
            <a:extLst>
              <a:ext uri="{FF2B5EF4-FFF2-40B4-BE49-F238E27FC236}">
                <a16:creationId xmlns:a16="http://schemas.microsoft.com/office/drawing/2014/main" id="{00000000-0008-0000-0B00-000080010000}"/>
              </a:ext>
            </a:extLst>
          </xdr:cNvPr>
          <xdr:cNvSpPr/>
        </xdr:nvSpPr>
        <xdr:spPr>
          <a:xfrm>
            <a:off x="1131137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5" name="Ellipse 384">
            <a:extLst>
              <a:ext uri="{FF2B5EF4-FFF2-40B4-BE49-F238E27FC236}">
                <a16:creationId xmlns:a16="http://schemas.microsoft.com/office/drawing/2014/main" id="{00000000-0008-0000-0B00-000081010000}"/>
              </a:ext>
            </a:extLst>
          </xdr:cNvPr>
          <xdr:cNvSpPr/>
        </xdr:nvSpPr>
        <xdr:spPr>
          <a:xfrm>
            <a:off x="1204479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6" name="Ellipse 385">
            <a:extLst>
              <a:ext uri="{FF2B5EF4-FFF2-40B4-BE49-F238E27FC236}">
                <a16:creationId xmlns:a16="http://schemas.microsoft.com/office/drawing/2014/main" id="{00000000-0008-0000-0B00-000082010000}"/>
              </a:ext>
            </a:extLst>
          </xdr:cNvPr>
          <xdr:cNvSpPr/>
        </xdr:nvSpPr>
        <xdr:spPr>
          <a:xfrm>
            <a:off x="1058227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7" name="Ellipse 386">
            <a:extLst>
              <a:ext uri="{FF2B5EF4-FFF2-40B4-BE49-F238E27FC236}">
                <a16:creationId xmlns:a16="http://schemas.microsoft.com/office/drawing/2014/main" id="{00000000-0008-0000-0B00-000083010000}"/>
              </a:ext>
            </a:extLst>
          </xdr:cNvPr>
          <xdr:cNvSpPr/>
        </xdr:nvSpPr>
        <xdr:spPr>
          <a:xfrm>
            <a:off x="116776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8" name="Ellipse 387">
            <a:extLst>
              <a:ext uri="{FF2B5EF4-FFF2-40B4-BE49-F238E27FC236}">
                <a16:creationId xmlns:a16="http://schemas.microsoft.com/office/drawing/2014/main" id="{00000000-0008-0000-0B00-000084010000}"/>
              </a:ext>
            </a:extLst>
          </xdr:cNvPr>
          <xdr:cNvSpPr/>
        </xdr:nvSpPr>
        <xdr:spPr>
          <a:xfrm>
            <a:off x="1094422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89" name="Ellipse 388">
            <a:extLst>
              <a:ext uri="{FF2B5EF4-FFF2-40B4-BE49-F238E27FC236}">
                <a16:creationId xmlns:a16="http://schemas.microsoft.com/office/drawing/2014/main" id="{00000000-0008-0000-0B00-000085010000}"/>
              </a:ext>
            </a:extLst>
          </xdr:cNvPr>
          <xdr:cNvSpPr/>
        </xdr:nvSpPr>
        <xdr:spPr>
          <a:xfrm>
            <a:off x="1132522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0" name="Ellipse 389">
            <a:extLst>
              <a:ext uri="{FF2B5EF4-FFF2-40B4-BE49-F238E27FC236}">
                <a16:creationId xmlns:a16="http://schemas.microsoft.com/office/drawing/2014/main" id="{00000000-0008-0000-0B00-000086010000}"/>
              </a:ext>
            </a:extLst>
          </xdr:cNvPr>
          <xdr:cNvSpPr/>
        </xdr:nvSpPr>
        <xdr:spPr>
          <a:xfrm>
            <a:off x="1059180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1" name="Ellipse 390">
            <a:extLst>
              <a:ext uri="{FF2B5EF4-FFF2-40B4-BE49-F238E27FC236}">
                <a16:creationId xmlns:a16="http://schemas.microsoft.com/office/drawing/2014/main" id="{00000000-0008-0000-0B00-000087010000}"/>
              </a:ext>
            </a:extLst>
          </xdr:cNvPr>
          <xdr:cNvSpPr/>
        </xdr:nvSpPr>
        <xdr:spPr>
          <a:xfrm>
            <a:off x="1168284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2" name="Ellipse 391">
            <a:extLst>
              <a:ext uri="{FF2B5EF4-FFF2-40B4-BE49-F238E27FC236}">
                <a16:creationId xmlns:a16="http://schemas.microsoft.com/office/drawing/2014/main" id="{00000000-0008-0000-0B00-000088010000}"/>
              </a:ext>
            </a:extLst>
          </xdr:cNvPr>
          <xdr:cNvSpPr/>
        </xdr:nvSpPr>
        <xdr:spPr>
          <a:xfrm>
            <a:off x="1094942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3" name="Ellipse 392">
            <a:extLst>
              <a:ext uri="{FF2B5EF4-FFF2-40B4-BE49-F238E27FC236}">
                <a16:creationId xmlns:a16="http://schemas.microsoft.com/office/drawing/2014/main" id="{00000000-0008-0000-0B00-000089010000}"/>
              </a:ext>
            </a:extLst>
          </xdr:cNvPr>
          <xdr:cNvSpPr/>
        </xdr:nvSpPr>
        <xdr:spPr>
          <a:xfrm>
            <a:off x="911781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4" name="Ellipse 393">
            <a:extLst>
              <a:ext uri="{FF2B5EF4-FFF2-40B4-BE49-F238E27FC236}">
                <a16:creationId xmlns:a16="http://schemas.microsoft.com/office/drawing/2014/main" id="{00000000-0008-0000-0B00-00008A010000}"/>
              </a:ext>
            </a:extLst>
          </xdr:cNvPr>
          <xdr:cNvSpPr/>
        </xdr:nvSpPr>
        <xdr:spPr>
          <a:xfrm>
            <a:off x="985123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5" name="Ellipse 394">
            <a:extLst>
              <a:ext uri="{FF2B5EF4-FFF2-40B4-BE49-F238E27FC236}">
                <a16:creationId xmlns:a16="http://schemas.microsoft.com/office/drawing/2014/main" id="{00000000-0008-0000-0B00-00008B010000}"/>
              </a:ext>
            </a:extLst>
          </xdr:cNvPr>
          <xdr:cNvSpPr/>
        </xdr:nvSpPr>
        <xdr:spPr>
          <a:xfrm>
            <a:off x="1131808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6" name="Ellipse 395">
            <a:extLst>
              <a:ext uri="{FF2B5EF4-FFF2-40B4-BE49-F238E27FC236}">
                <a16:creationId xmlns:a16="http://schemas.microsoft.com/office/drawing/2014/main" id="{00000000-0008-0000-0B00-00008C010000}"/>
              </a:ext>
            </a:extLst>
          </xdr:cNvPr>
          <xdr:cNvSpPr/>
        </xdr:nvSpPr>
        <xdr:spPr>
          <a:xfrm>
            <a:off x="1058466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editAs="absolute">
    <xdr:from>
      <xdr:col>5</xdr:col>
      <xdr:colOff>456089</xdr:colOff>
      <xdr:row>6</xdr:row>
      <xdr:rowOff>52665</xdr:rowOff>
    </xdr:from>
    <xdr:to>
      <xdr:col>5</xdr:col>
      <xdr:colOff>894369</xdr:colOff>
      <xdr:row>7</xdr:row>
      <xdr:rowOff>186415</xdr:rowOff>
    </xdr:to>
    <xdr:grpSp>
      <xdr:nvGrpSpPr>
        <xdr:cNvPr id="397" name="Groupe 396">
          <a:extLst>
            <a:ext uri="{FF2B5EF4-FFF2-40B4-BE49-F238E27FC236}">
              <a16:creationId xmlns:a16="http://schemas.microsoft.com/office/drawing/2014/main" id="{00000000-0008-0000-0B00-00008D010000}"/>
            </a:ext>
          </a:extLst>
        </xdr:cNvPr>
        <xdr:cNvGrpSpPr/>
      </xdr:nvGrpSpPr>
      <xdr:grpSpPr>
        <a:xfrm>
          <a:off x="4551839" y="1195665"/>
          <a:ext cx="438280" cy="324250"/>
          <a:chOff x="8382000" y="1143000"/>
          <a:chExt cx="4382795" cy="3227450"/>
        </a:xfrm>
      </xdr:grpSpPr>
      <xdr:sp macro="" textlink="">
        <xdr:nvSpPr>
          <xdr:cNvPr id="398" name="Ellipse 397">
            <a:extLst>
              <a:ext uri="{FF2B5EF4-FFF2-40B4-BE49-F238E27FC236}">
                <a16:creationId xmlns:a16="http://schemas.microsoft.com/office/drawing/2014/main" id="{00000000-0008-0000-0B00-00008E010000}"/>
              </a:ext>
            </a:extLst>
          </xdr:cNvPr>
          <xdr:cNvSpPr/>
        </xdr:nvSpPr>
        <xdr:spPr>
          <a:xfrm>
            <a:off x="911542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399" name="Ellipse 398">
            <a:extLst>
              <a:ext uri="{FF2B5EF4-FFF2-40B4-BE49-F238E27FC236}">
                <a16:creationId xmlns:a16="http://schemas.microsoft.com/office/drawing/2014/main" id="{00000000-0008-0000-0B00-00008F010000}"/>
              </a:ext>
            </a:extLst>
          </xdr:cNvPr>
          <xdr:cNvSpPr/>
        </xdr:nvSpPr>
        <xdr:spPr>
          <a:xfrm>
            <a:off x="984885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0" name="Ellipse 399">
            <a:extLst>
              <a:ext uri="{FF2B5EF4-FFF2-40B4-BE49-F238E27FC236}">
                <a16:creationId xmlns:a16="http://schemas.microsoft.com/office/drawing/2014/main" id="{00000000-0008-0000-0B00-000090010000}"/>
              </a:ext>
            </a:extLst>
          </xdr:cNvPr>
          <xdr:cNvSpPr/>
        </xdr:nvSpPr>
        <xdr:spPr>
          <a:xfrm>
            <a:off x="838200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1" name="Ellipse 400">
            <a:extLst>
              <a:ext uri="{FF2B5EF4-FFF2-40B4-BE49-F238E27FC236}">
                <a16:creationId xmlns:a16="http://schemas.microsoft.com/office/drawing/2014/main" id="{00000000-0008-0000-0B00-000091010000}"/>
              </a:ext>
            </a:extLst>
          </xdr:cNvPr>
          <xdr:cNvSpPr/>
        </xdr:nvSpPr>
        <xdr:spPr>
          <a:xfrm>
            <a:off x="947737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2" name="Ellipse 401">
            <a:extLst>
              <a:ext uri="{FF2B5EF4-FFF2-40B4-BE49-F238E27FC236}">
                <a16:creationId xmlns:a16="http://schemas.microsoft.com/office/drawing/2014/main" id="{00000000-0008-0000-0B00-000092010000}"/>
              </a:ext>
            </a:extLst>
          </xdr:cNvPr>
          <xdr:cNvSpPr/>
        </xdr:nvSpPr>
        <xdr:spPr>
          <a:xfrm>
            <a:off x="1021080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3" name="Ellipse 402">
            <a:extLst>
              <a:ext uri="{FF2B5EF4-FFF2-40B4-BE49-F238E27FC236}">
                <a16:creationId xmlns:a16="http://schemas.microsoft.com/office/drawing/2014/main" id="{00000000-0008-0000-0B00-000093010000}"/>
              </a:ext>
            </a:extLst>
          </xdr:cNvPr>
          <xdr:cNvSpPr/>
        </xdr:nvSpPr>
        <xdr:spPr>
          <a:xfrm>
            <a:off x="87439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4" name="Ellipse 403">
            <a:extLst>
              <a:ext uri="{FF2B5EF4-FFF2-40B4-BE49-F238E27FC236}">
                <a16:creationId xmlns:a16="http://schemas.microsoft.com/office/drawing/2014/main" id="{00000000-0008-0000-0B00-000094010000}"/>
              </a:ext>
            </a:extLst>
          </xdr:cNvPr>
          <xdr:cNvSpPr/>
        </xdr:nvSpPr>
        <xdr:spPr>
          <a:xfrm>
            <a:off x="912495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5" name="Ellipse 404">
            <a:extLst>
              <a:ext uri="{FF2B5EF4-FFF2-40B4-BE49-F238E27FC236}">
                <a16:creationId xmlns:a16="http://schemas.microsoft.com/office/drawing/2014/main" id="{00000000-0008-0000-0B00-000095010000}"/>
              </a:ext>
            </a:extLst>
          </xdr:cNvPr>
          <xdr:cNvSpPr/>
        </xdr:nvSpPr>
        <xdr:spPr>
          <a:xfrm>
            <a:off x="985837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6" name="Ellipse 405">
            <a:extLst>
              <a:ext uri="{FF2B5EF4-FFF2-40B4-BE49-F238E27FC236}">
                <a16:creationId xmlns:a16="http://schemas.microsoft.com/office/drawing/2014/main" id="{00000000-0008-0000-0B00-000096010000}"/>
              </a:ext>
            </a:extLst>
          </xdr:cNvPr>
          <xdr:cNvSpPr/>
        </xdr:nvSpPr>
        <xdr:spPr>
          <a:xfrm>
            <a:off x="948690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7" name="Ellipse 406">
            <a:extLst>
              <a:ext uri="{FF2B5EF4-FFF2-40B4-BE49-F238E27FC236}">
                <a16:creationId xmlns:a16="http://schemas.microsoft.com/office/drawing/2014/main" id="{00000000-0008-0000-0B00-000097010000}"/>
              </a:ext>
            </a:extLst>
          </xdr:cNvPr>
          <xdr:cNvSpPr/>
        </xdr:nvSpPr>
        <xdr:spPr>
          <a:xfrm>
            <a:off x="1021599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8" name="Ellipse 407">
            <a:extLst>
              <a:ext uri="{FF2B5EF4-FFF2-40B4-BE49-F238E27FC236}">
                <a16:creationId xmlns:a16="http://schemas.microsoft.com/office/drawing/2014/main" id="{00000000-0008-0000-0B00-000098010000}"/>
              </a:ext>
            </a:extLst>
          </xdr:cNvPr>
          <xdr:cNvSpPr/>
        </xdr:nvSpPr>
        <xdr:spPr>
          <a:xfrm>
            <a:off x="875347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09" name="Ellipse 408">
            <a:extLst>
              <a:ext uri="{FF2B5EF4-FFF2-40B4-BE49-F238E27FC236}">
                <a16:creationId xmlns:a16="http://schemas.microsoft.com/office/drawing/2014/main" id="{00000000-0008-0000-0B00-000099010000}"/>
              </a:ext>
            </a:extLst>
          </xdr:cNvPr>
          <xdr:cNvSpPr/>
        </xdr:nvSpPr>
        <xdr:spPr>
          <a:xfrm>
            <a:off x="1131137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0" name="Ellipse 409">
            <a:extLst>
              <a:ext uri="{FF2B5EF4-FFF2-40B4-BE49-F238E27FC236}">
                <a16:creationId xmlns:a16="http://schemas.microsoft.com/office/drawing/2014/main" id="{00000000-0008-0000-0B00-00009A010000}"/>
              </a:ext>
            </a:extLst>
          </xdr:cNvPr>
          <xdr:cNvSpPr/>
        </xdr:nvSpPr>
        <xdr:spPr>
          <a:xfrm>
            <a:off x="1204479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1" name="Ellipse 410">
            <a:extLst>
              <a:ext uri="{FF2B5EF4-FFF2-40B4-BE49-F238E27FC236}">
                <a16:creationId xmlns:a16="http://schemas.microsoft.com/office/drawing/2014/main" id="{00000000-0008-0000-0B00-00009B010000}"/>
              </a:ext>
            </a:extLst>
          </xdr:cNvPr>
          <xdr:cNvSpPr/>
        </xdr:nvSpPr>
        <xdr:spPr>
          <a:xfrm>
            <a:off x="1058227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2" name="Ellipse 411">
            <a:extLst>
              <a:ext uri="{FF2B5EF4-FFF2-40B4-BE49-F238E27FC236}">
                <a16:creationId xmlns:a16="http://schemas.microsoft.com/office/drawing/2014/main" id="{00000000-0008-0000-0B00-00009C010000}"/>
              </a:ext>
            </a:extLst>
          </xdr:cNvPr>
          <xdr:cNvSpPr/>
        </xdr:nvSpPr>
        <xdr:spPr>
          <a:xfrm>
            <a:off x="116776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3" name="Ellipse 412">
            <a:extLst>
              <a:ext uri="{FF2B5EF4-FFF2-40B4-BE49-F238E27FC236}">
                <a16:creationId xmlns:a16="http://schemas.microsoft.com/office/drawing/2014/main" id="{00000000-0008-0000-0B00-00009D010000}"/>
              </a:ext>
            </a:extLst>
          </xdr:cNvPr>
          <xdr:cNvSpPr/>
        </xdr:nvSpPr>
        <xdr:spPr>
          <a:xfrm>
            <a:off x="1094422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4" name="Ellipse 413">
            <a:extLst>
              <a:ext uri="{FF2B5EF4-FFF2-40B4-BE49-F238E27FC236}">
                <a16:creationId xmlns:a16="http://schemas.microsoft.com/office/drawing/2014/main" id="{00000000-0008-0000-0B00-00009E010000}"/>
              </a:ext>
            </a:extLst>
          </xdr:cNvPr>
          <xdr:cNvSpPr/>
        </xdr:nvSpPr>
        <xdr:spPr>
          <a:xfrm>
            <a:off x="1132522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5" name="Ellipse 414">
            <a:extLst>
              <a:ext uri="{FF2B5EF4-FFF2-40B4-BE49-F238E27FC236}">
                <a16:creationId xmlns:a16="http://schemas.microsoft.com/office/drawing/2014/main" id="{00000000-0008-0000-0B00-00009F010000}"/>
              </a:ext>
            </a:extLst>
          </xdr:cNvPr>
          <xdr:cNvSpPr/>
        </xdr:nvSpPr>
        <xdr:spPr>
          <a:xfrm>
            <a:off x="1059180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6" name="Ellipse 415">
            <a:extLst>
              <a:ext uri="{FF2B5EF4-FFF2-40B4-BE49-F238E27FC236}">
                <a16:creationId xmlns:a16="http://schemas.microsoft.com/office/drawing/2014/main" id="{00000000-0008-0000-0B00-0000A0010000}"/>
              </a:ext>
            </a:extLst>
          </xdr:cNvPr>
          <xdr:cNvSpPr/>
        </xdr:nvSpPr>
        <xdr:spPr>
          <a:xfrm>
            <a:off x="1168284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7" name="Ellipse 416">
            <a:extLst>
              <a:ext uri="{FF2B5EF4-FFF2-40B4-BE49-F238E27FC236}">
                <a16:creationId xmlns:a16="http://schemas.microsoft.com/office/drawing/2014/main" id="{00000000-0008-0000-0B00-0000A1010000}"/>
              </a:ext>
            </a:extLst>
          </xdr:cNvPr>
          <xdr:cNvSpPr/>
        </xdr:nvSpPr>
        <xdr:spPr>
          <a:xfrm>
            <a:off x="1094942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8" name="Ellipse 417">
            <a:extLst>
              <a:ext uri="{FF2B5EF4-FFF2-40B4-BE49-F238E27FC236}">
                <a16:creationId xmlns:a16="http://schemas.microsoft.com/office/drawing/2014/main" id="{00000000-0008-0000-0B00-0000A2010000}"/>
              </a:ext>
            </a:extLst>
          </xdr:cNvPr>
          <xdr:cNvSpPr/>
        </xdr:nvSpPr>
        <xdr:spPr>
          <a:xfrm>
            <a:off x="911781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19" name="Ellipse 418">
            <a:extLst>
              <a:ext uri="{FF2B5EF4-FFF2-40B4-BE49-F238E27FC236}">
                <a16:creationId xmlns:a16="http://schemas.microsoft.com/office/drawing/2014/main" id="{00000000-0008-0000-0B00-0000A3010000}"/>
              </a:ext>
            </a:extLst>
          </xdr:cNvPr>
          <xdr:cNvSpPr/>
        </xdr:nvSpPr>
        <xdr:spPr>
          <a:xfrm>
            <a:off x="985123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0" name="Ellipse 419">
            <a:extLst>
              <a:ext uri="{FF2B5EF4-FFF2-40B4-BE49-F238E27FC236}">
                <a16:creationId xmlns:a16="http://schemas.microsoft.com/office/drawing/2014/main" id="{00000000-0008-0000-0B00-0000A4010000}"/>
              </a:ext>
            </a:extLst>
          </xdr:cNvPr>
          <xdr:cNvSpPr/>
        </xdr:nvSpPr>
        <xdr:spPr>
          <a:xfrm>
            <a:off x="1131808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1" name="Ellipse 420">
            <a:extLst>
              <a:ext uri="{FF2B5EF4-FFF2-40B4-BE49-F238E27FC236}">
                <a16:creationId xmlns:a16="http://schemas.microsoft.com/office/drawing/2014/main" id="{00000000-0008-0000-0B00-0000A5010000}"/>
              </a:ext>
            </a:extLst>
          </xdr:cNvPr>
          <xdr:cNvSpPr/>
        </xdr:nvSpPr>
        <xdr:spPr>
          <a:xfrm>
            <a:off x="1058466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editAs="absolute">
    <xdr:from>
      <xdr:col>5</xdr:col>
      <xdr:colOff>231972</xdr:colOff>
      <xdr:row>4</xdr:row>
      <xdr:rowOff>108695</xdr:rowOff>
    </xdr:from>
    <xdr:to>
      <xdr:col>5</xdr:col>
      <xdr:colOff>670252</xdr:colOff>
      <xdr:row>6</xdr:row>
      <xdr:rowOff>51945</xdr:rowOff>
    </xdr:to>
    <xdr:grpSp>
      <xdr:nvGrpSpPr>
        <xdr:cNvPr id="422" name="Groupe 421">
          <a:extLst>
            <a:ext uri="{FF2B5EF4-FFF2-40B4-BE49-F238E27FC236}">
              <a16:creationId xmlns:a16="http://schemas.microsoft.com/office/drawing/2014/main" id="{00000000-0008-0000-0B00-0000A6010000}"/>
            </a:ext>
          </a:extLst>
        </xdr:cNvPr>
        <xdr:cNvGrpSpPr/>
      </xdr:nvGrpSpPr>
      <xdr:grpSpPr>
        <a:xfrm>
          <a:off x="4327722" y="870695"/>
          <a:ext cx="438280" cy="324250"/>
          <a:chOff x="8382000" y="1143000"/>
          <a:chExt cx="4382795" cy="3227450"/>
        </a:xfrm>
      </xdr:grpSpPr>
      <xdr:sp macro="" textlink="">
        <xdr:nvSpPr>
          <xdr:cNvPr id="423" name="Ellipse 422">
            <a:extLst>
              <a:ext uri="{FF2B5EF4-FFF2-40B4-BE49-F238E27FC236}">
                <a16:creationId xmlns:a16="http://schemas.microsoft.com/office/drawing/2014/main" id="{00000000-0008-0000-0B00-0000A7010000}"/>
              </a:ext>
            </a:extLst>
          </xdr:cNvPr>
          <xdr:cNvSpPr/>
        </xdr:nvSpPr>
        <xdr:spPr>
          <a:xfrm>
            <a:off x="911542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4" name="Ellipse 423">
            <a:extLst>
              <a:ext uri="{FF2B5EF4-FFF2-40B4-BE49-F238E27FC236}">
                <a16:creationId xmlns:a16="http://schemas.microsoft.com/office/drawing/2014/main" id="{00000000-0008-0000-0B00-0000A8010000}"/>
              </a:ext>
            </a:extLst>
          </xdr:cNvPr>
          <xdr:cNvSpPr/>
        </xdr:nvSpPr>
        <xdr:spPr>
          <a:xfrm>
            <a:off x="984885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5" name="Ellipse 424">
            <a:extLst>
              <a:ext uri="{FF2B5EF4-FFF2-40B4-BE49-F238E27FC236}">
                <a16:creationId xmlns:a16="http://schemas.microsoft.com/office/drawing/2014/main" id="{00000000-0008-0000-0B00-0000A9010000}"/>
              </a:ext>
            </a:extLst>
          </xdr:cNvPr>
          <xdr:cNvSpPr/>
        </xdr:nvSpPr>
        <xdr:spPr>
          <a:xfrm>
            <a:off x="838200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6" name="Ellipse 425">
            <a:extLst>
              <a:ext uri="{FF2B5EF4-FFF2-40B4-BE49-F238E27FC236}">
                <a16:creationId xmlns:a16="http://schemas.microsoft.com/office/drawing/2014/main" id="{00000000-0008-0000-0B00-0000AA010000}"/>
              </a:ext>
            </a:extLst>
          </xdr:cNvPr>
          <xdr:cNvSpPr/>
        </xdr:nvSpPr>
        <xdr:spPr>
          <a:xfrm>
            <a:off x="947737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7" name="Ellipse 426">
            <a:extLst>
              <a:ext uri="{FF2B5EF4-FFF2-40B4-BE49-F238E27FC236}">
                <a16:creationId xmlns:a16="http://schemas.microsoft.com/office/drawing/2014/main" id="{00000000-0008-0000-0B00-0000AB010000}"/>
              </a:ext>
            </a:extLst>
          </xdr:cNvPr>
          <xdr:cNvSpPr/>
        </xdr:nvSpPr>
        <xdr:spPr>
          <a:xfrm>
            <a:off x="1021080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8" name="Ellipse 427">
            <a:extLst>
              <a:ext uri="{FF2B5EF4-FFF2-40B4-BE49-F238E27FC236}">
                <a16:creationId xmlns:a16="http://schemas.microsoft.com/office/drawing/2014/main" id="{00000000-0008-0000-0B00-0000AC010000}"/>
              </a:ext>
            </a:extLst>
          </xdr:cNvPr>
          <xdr:cNvSpPr/>
        </xdr:nvSpPr>
        <xdr:spPr>
          <a:xfrm>
            <a:off x="87439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29" name="Ellipse 428">
            <a:extLst>
              <a:ext uri="{FF2B5EF4-FFF2-40B4-BE49-F238E27FC236}">
                <a16:creationId xmlns:a16="http://schemas.microsoft.com/office/drawing/2014/main" id="{00000000-0008-0000-0B00-0000AD010000}"/>
              </a:ext>
            </a:extLst>
          </xdr:cNvPr>
          <xdr:cNvSpPr/>
        </xdr:nvSpPr>
        <xdr:spPr>
          <a:xfrm>
            <a:off x="912495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0" name="Ellipse 429">
            <a:extLst>
              <a:ext uri="{FF2B5EF4-FFF2-40B4-BE49-F238E27FC236}">
                <a16:creationId xmlns:a16="http://schemas.microsoft.com/office/drawing/2014/main" id="{00000000-0008-0000-0B00-0000AE010000}"/>
              </a:ext>
            </a:extLst>
          </xdr:cNvPr>
          <xdr:cNvSpPr/>
        </xdr:nvSpPr>
        <xdr:spPr>
          <a:xfrm>
            <a:off x="985837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1" name="Ellipse 430">
            <a:extLst>
              <a:ext uri="{FF2B5EF4-FFF2-40B4-BE49-F238E27FC236}">
                <a16:creationId xmlns:a16="http://schemas.microsoft.com/office/drawing/2014/main" id="{00000000-0008-0000-0B00-0000AF010000}"/>
              </a:ext>
            </a:extLst>
          </xdr:cNvPr>
          <xdr:cNvSpPr/>
        </xdr:nvSpPr>
        <xdr:spPr>
          <a:xfrm>
            <a:off x="948690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2" name="Ellipse 431">
            <a:extLst>
              <a:ext uri="{FF2B5EF4-FFF2-40B4-BE49-F238E27FC236}">
                <a16:creationId xmlns:a16="http://schemas.microsoft.com/office/drawing/2014/main" id="{00000000-0008-0000-0B00-0000B0010000}"/>
              </a:ext>
            </a:extLst>
          </xdr:cNvPr>
          <xdr:cNvSpPr/>
        </xdr:nvSpPr>
        <xdr:spPr>
          <a:xfrm>
            <a:off x="1021599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3" name="Ellipse 432">
            <a:extLst>
              <a:ext uri="{FF2B5EF4-FFF2-40B4-BE49-F238E27FC236}">
                <a16:creationId xmlns:a16="http://schemas.microsoft.com/office/drawing/2014/main" id="{00000000-0008-0000-0B00-0000B1010000}"/>
              </a:ext>
            </a:extLst>
          </xdr:cNvPr>
          <xdr:cNvSpPr/>
        </xdr:nvSpPr>
        <xdr:spPr>
          <a:xfrm>
            <a:off x="875347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4" name="Ellipse 433">
            <a:extLst>
              <a:ext uri="{FF2B5EF4-FFF2-40B4-BE49-F238E27FC236}">
                <a16:creationId xmlns:a16="http://schemas.microsoft.com/office/drawing/2014/main" id="{00000000-0008-0000-0B00-0000B2010000}"/>
              </a:ext>
            </a:extLst>
          </xdr:cNvPr>
          <xdr:cNvSpPr/>
        </xdr:nvSpPr>
        <xdr:spPr>
          <a:xfrm>
            <a:off x="11311370"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5" name="Ellipse 434">
            <a:extLst>
              <a:ext uri="{FF2B5EF4-FFF2-40B4-BE49-F238E27FC236}">
                <a16:creationId xmlns:a16="http://schemas.microsoft.com/office/drawing/2014/main" id="{00000000-0008-0000-0B00-0000B3010000}"/>
              </a:ext>
            </a:extLst>
          </xdr:cNvPr>
          <xdr:cNvSpPr/>
        </xdr:nvSpPr>
        <xdr:spPr>
          <a:xfrm>
            <a:off x="1204479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6" name="Ellipse 435">
            <a:extLst>
              <a:ext uri="{FF2B5EF4-FFF2-40B4-BE49-F238E27FC236}">
                <a16:creationId xmlns:a16="http://schemas.microsoft.com/office/drawing/2014/main" id="{00000000-0008-0000-0B00-0000B4010000}"/>
              </a:ext>
            </a:extLst>
          </xdr:cNvPr>
          <xdr:cNvSpPr/>
        </xdr:nvSpPr>
        <xdr:spPr>
          <a:xfrm>
            <a:off x="10582275" y="23931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7" name="Ellipse 436">
            <a:extLst>
              <a:ext uri="{FF2B5EF4-FFF2-40B4-BE49-F238E27FC236}">
                <a16:creationId xmlns:a16="http://schemas.microsoft.com/office/drawing/2014/main" id="{00000000-0008-0000-0B00-0000B5010000}"/>
              </a:ext>
            </a:extLst>
          </xdr:cNvPr>
          <xdr:cNvSpPr/>
        </xdr:nvSpPr>
        <xdr:spPr>
          <a:xfrm>
            <a:off x="11677650"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8" name="Ellipse 437">
            <a:extLst>
              <a:ext uri="{FF2B5EF4-FFF2-40B4-BE49-F238E27FC236}">
                <a16:creationId xmlns:a16="http://schemas.microsoft.com/office/drawing/2014/main" id="{00000000-0008-0000-0B00-0000B6010000}"/>
              </a:ext>
            </a:extLst>
          </xdr:cNvPr>
          <xdr:cNvSpPr/>
        </xdr:nvSpPr>
        <xdr:spPr>
          <a:xfrm>
            <a:off x="10944225" y="17645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39" name="Ellipse 438">
            <a:extLst>
              <a:ext uri="{FF2B5EF4-FFF2-40B4-BE49-F238E27FC236}">
                <a16:creationId xmlns:a16="http://schemas.microsoft.com/office/drawing/2014/main" id="{00000000-0008-0000-0B00-0000B7010000}"/>
              </a:ext>
            </a:extLst>
          </xdr:cNvPr>
          <xdr:cNvSpPr/>
        </xdr:nvSpPr>
        <xdr:spPr>
          <a:xfrm>
            <a:off x="11325225"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0" name="Ellipse 439">
            <a:extLst>
              <a:ext uri="{FF2B5EF4-FFF2-40B4-BE49-F238E27FC236}">
                <a16:creationId xmlns:a16="http://schemas.microsoft.com/office/drawing/2014/main" id="{00000000-0008-0000-0B00-0000B8010000}"/>
              </a:ext>
            </a:extLst>
          </xdr:cNvPr>
          <xdr:cNvSpPr/>
        </xdr:nvSpPr>
        <xdr:spPr>
          <a:xfrm>
            <a:off x="10591800" y="365045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1" name="Ellipse 440">
            <a:extLst>
              <a:ext uri="{FF2B5EF4-FFF2-40B4-BE49-F238E27FC236}">
                <a16:creationId xmlns:a16="http://schemas.microsoft.com/office/drawing/2014/main" id="{00000000-0008-0000-0B00-0000B9010000}"/>
              </a:ext>
            </a:extLst>
          </xdr:cNvPr>
          <xdr:cNvSpPr/>
        </xdr:nvSpPr>
        <xdr:spPr>
          <a:xfrm>
            <a:off x="11682845"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2" name="Ellipse 441">
            <a:extLst>
              <a:ext uri="{FF2B5EF4-FFF2-40B4-BE49-F238E27FC236}">
                <a16:creationId xmlns:a16="http://schemas.microsoft.com/office/drawing/2014/main" id="{00000000-0008-0000-0B00-0000BA010000}"/>
              </a:ext>
            </a:extLst>
          </xdr:cNvPr>
          <xdr:cNvSpPr/>
        </xdr:nvSpPr>
        <xdr:spPr>
          <a:xfrm>
            <a:off x="10949420" y="30218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3" name="Ellipse 442">
            <a:extLst>
              <a:ext uri="{FF2B5EF4-FFF2-40B4-BE49-F238E27FC236}">
                <a16:creationId xmlns:a16="http://schemas.microsoft.com/office/drawing/2014/main" id="{00000000-0008-0000-0B00-0000BB010000}"/>
              </a:ext>
            </a:extLst>
          </xdr:cNvPr>
          <xdr:cNvSpPr/>
        </xdr:nvSpPr>
        <xdr:spPr>
          <a:xfrm>
            <a:off x="911781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4" name="Ellipse 443">
            <a:extLst>
              <a:ext uri="{FF2B5EF4-FFF2-40B4-BE49-F238E27FC236}">
                <a16:creationId xmlns:a16="http://schemas.microsoft.com/office/drawing/2014/main" id="{00000000-0008-0000-0B00-0000BC010000}"/>
              </a:ext>
            </a:extLst>
          </xdr:cNvPr>
          <xdr:cNvSpPr/>
        </xdr:nvSpPr>
        <xdr:spPr>
          <a:xfrm>
            <a:off x="985123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5" name="Ellipse 444">
            <a:extLst>
              <a:ext uri="{FF2B5EF4-FFF2-40B4-BE49-F238E27FC236}">
                <a16:creationId xmlns:a16="http://schemas.microsoft.com/office/drawing/2014/main" id="{00000000-0008-0000-0B00-0000BD010000}"/>
              </a:ext>
            </a:extLst>
          </xdr:cNvPr>
          <xdr:cNvSpPr/>
        </xdr:nvSpPr>
        <xdr:spPr>
          <a:xfrm>
            <a:off x="11318086"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sp macro="" textlink="">
        <xdr:nvSpPr>
          <xdr:cNvPr id="446" name="Ellipse 445">
            <a:extLst>
              <a:ext uri="{FF2B5EF4-FFF2-40B4-BE49-F238E27FC236}">
                <a16:creationId xmlns:a16="http://schemas.microsoft.com/office/drawing/2014/main" id="{00000000-0008-0000-0B00-0000BE010000}"/>
              </a:ext>
            </a:extLst>
          </xdr:cNvPr>
          <xdr:cNvSpPr/>
        </xdr:nvSpPr>
        <xdr:spPr>
          <a:xfrm>
            <a:off x="10584661" y="1143000"/>
            <a:ext cx="720000" cy="720000"/>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grpSp>
    <xdr:clientData/>
  </xdr:twoCellAnchor>
  <xdr:twoCellAnchor editAs="absolute">
    <xdr:from>
      <xdr:col>5</xdr:col>
      <xdr:colOff>634530</xdr:colOff>
      <xdr:row>9</xdr:row>
      <xdr:rowOff>174008</xdr:rowOff>
    </xdr:from>
    <xdr:to>
      <xdr:col>5</xdr:col>
      <xdr:colOff>706530</xdr:colOff>
      <xdr:row>10</xdr:row>
      <xdr:rowOff>55844</xdr:rowOff>
    </xdr:to>
    <xdr:sp macro="" textlink="">
      <xdr:nvSpPr>
        <xdr:cNvPr id="448" name="Ellipse 447">
          <a:extLst>
            <a:ext uri="{FF2B5EF4-FFF2-40B4-BE49-F238E27FC236}">
              <a16:creationId xmlns:a16="http://schemas.microsoft.com/office/drawing/2014/main" id="{00000000-0008-0000-0B00-0000C0010000}"/>
            </a:ext>
          </a:extLst>
        </xdr:cNvPr>
        <xdr:cNvSpPr/>
      </xdr:nvSpPr>
      <xdr:spPr>
        <a:xfrm>
          <a:off x="4730280" y="188850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707872</xdr:colOff>
      <xdr:row>9</xdr:row>
      <xdr:rowOff>174008</xdr:rowOff>
    </xdr:from>
    <xdr:to>
      <xdr:col>5</xdr:col>
      <xdr:colOff>779872</xdr:colOff>
      <xdr:row>10</xdr:row>
      <xdr:rowOff>55844</xdr:rowOff>
    </xdr:to>
    <xdr:sp macro="" textlink="">
      <xdr:nvSpPr>
        <xdr:cNvPr id="449" name="Ellipse 448">
          <a:extLst>
            <a:ext uri="{FF2B5EF4-FFF2-40B4-BE49-F238E27FC236}">
              <a16:creationId xmlns:a16="http://schemas.microsoft.com/office/drawing/2014/main" id="{00000000-0008-0000-0B00-0000C1010000}"/>
            </a:ext>
          </a:extLst>
        </xdr:cNvPr>
        <xdr:cNvSpPr/>
      </xdr:nvSpPr>
      <xdr:spPr>
        <a:xfrm>
          <a:off x="4803622" y="188850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561187</xdr:colOff>
      <xdr:row>9</xdr:row>
      <xdr:rowOff>174008</xdr:rowOff>
    </xdr:from>
    <xdr:to>
      <xdr:col>5</xdr:col>
      <xdr:colOff>633187</xdr:colOff>
      <xdr:row>10</xdr:row>
      <xdr:rowOff>55844</xdr:rowOff>
    </xdr:to>
    <xdr:sp macro="" textlink="">
      <xdr:nvSpPr>
        <xdr:cNvPr id="450" name="Ellipse 449">
          <a:extLst>
            <a:ext uri="{FF2B5EF4-FFF2-40B4-BE49-F238E27FC236}">
              <a16:creationId xmlns:a16="http://schemas.microsoft.com/office/drawing/2014/main" id="{00000000-0008-0000-0B00-0000C2010000}"/>
            </a:ext>
          </a:extLst>
        </xdr:cNvPr>
        <xdr:cNvSpPr/>
      </xdr:nvSpPr>
      <xdr:spPr>
        <a:xfrm>
          <a:off x="4656937" y="188850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11595</xdr:colOff>
      <xdr:row>9</xdr:row>
      <xdr:rowOff>110850</xdr:rowOff>
    </xdr:from>
    <xdr:to>
      <xdr:col>5</xdr:col>
      <xdr:colOff>83595</xdr:colOff>
      <xdr:row>9</xdr:row>
      <xdr:rowOff>183186</xdr:rowOff>
    </xdr:to>
    <xdr:sp macro="" textlink="">
      <xdr:nvSpPr>
        <xdr:cNvPr id="451" name="Ellipse 450">
          <a:extLst>
            <a:ext uri="{FF2B5EF4-FFF2-40B4-BE49-F238E27FC236}">
              <a16:creationId xmlns:a16="http://schemas.microsoft.com/office/drawing/2014/main" id="{00000000-0008-0000-0B00-0000C3010000}"/>
            </a:ext>
          </a:extLst>
        </xdr:cNvPr>
        <xdr:cNvSpPr/>
      </xdr:nvSpPr>
      <xdr:spPr>
        <a:xfrm>
          <a:off x="4107345" y="182535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84937</xdr:colOff>
      <xdr:row>9</xdr:row>
      <xdr:rowOff>110850</xdr:rowOff>
    </xdr:from>
    <xdr:to>
      <xdr:col>5</xdr:col>
      <xdr:colOff>156937</xdr:colOff>
      <xdr:row>9</xdr:row>
      <xdr:rowOff>183186</xdr:rowOff>
    </xdr:to>
    <xdr:sp macro="" textlink="">
      <xdr:nvSpPr>
        <xdr:cNvPr id="452" name="Ellipse 451">
          <a:extLst>
            <a:ext uri="{FF2B5EF4-FFF2-40B4-BE49-F238E27FC236}">
              <a16:creationId xmlns:a16="http://schemas.microsoft.com/office/drawing/2014/main" id="{00000000-0008-0000-0B00-0000C4010000}"/>
            </a:ext>
          </a:extLst>
        </xdr:cNvPr>
        <xdr:cNvSpPr/>
      </xdr:nvSpPr>
      <xdr:spPr>
        <a:xfrm>
          <a:off x="4180687" y="182535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597382</xdr:colOff>
      <xdr:row>9</xdr:row>
      <xdr:rowOff>110850</xdr:rowOff>
    </xdr:from>
    <xdr:to>
      <xdr:col>5</xdr:col>
      <xdr:colOff>669382</xdr:colOff>
      <xdr:row>9</xdr:row>
      <xdr:rowOff>183186</xdr:rowOff>
    </xdr:to>
    <xdr:sp macro="" textlink="">
      <xdr:nvSpPr>
        <xdr:cNvPr id="453" name="Ellipse 452">
          <a:extLst>
            <a:ext uri="{FF2B5EF4-FFF2-40B4-BE49-F238E27FC236}">
              <a16:creationId xmlns:a16="http://schemas.microsoft.com/office/drawing/2014/main" id="{00000000-0008-0000-0B00-0000C5010000}"/>
            </a:ext>
          </a:extLst>
        </xdr:cNvPr>
        <xdr:cNvSpPr/>
      </xdr:nvSpPr>
      <xdr:spPr>
        <a:xfrm>
          <a:off x="4693132" y="182535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265912</xdr:colOff>
      <xdr:row>9</xdr:row>
      <xdr:rowOff>174594</xdr:rowOff>
    </xdr:from>
    <xdr:to>
      <xdr:col>5</xdr:col>
      <xdr:colOff>337912</xdr:colOff>
      <xdr:row>10</xdr:row>
      <xdr:rowOff>56430</xdr:rowOff>
    </xdr:to>
    <xdr:sp macro="" textlink="">
      <xdr:nvSpPr>
        <xdr:cNvPr id="454" name="Ellipse 453">
          <a:extLst>
            <a:ext uri="{FF2B5EF4-FFF2-40B4-BE49-F238E27FC236}">
              <a16:creationId xmlns:a16="http://schemas.microsoft.com/office/drawing/2014/main" id="{00000000-0008-0000-0B00-0000C6010000}"/>
            </a:ext>
          </a:extLst>
        </xdr:cNvPr>
        <xdr:cNvSpPr/>
      </xdr:nvSpPr>
      <xdr:spPr>
        <a:xfrm>
          <a:off x="4361662" y="1889094"/>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339255</xdr:colOff>
      <xdr:row>9</xdr:row>
      <xdr:rowOff>174594</xdr:rowOff>
    </xdr:from>
    <xdr:to>
      <xdr:col>5</xdr:col>
      <xdr:colOff>411255</xdr:colOff>
      <xdr:row>10</xdr:row>
      <xdr:rowOff>56430</xdr:rowOff>
    </xdr:to>
    <xdr:sp macro="" textlink="">
      <xdr:nvSpPr>
        <xdr:cNvPr id="455" name="Ellipse 454">
          <a:extLst>
            <a:ext uri="{FF2B5EF4-FFF2-40B4-BE49-F238E27FC236}">
              <a16:creationId xmlns:a16="http://schemas.microsoft.com/office/drawing/2014/main" id="{00000000-0008-0000-0B00-0000C7010000}"/>
            </a:ext>
          </a:extLst>
        </xdr:cNvPr>
        <xdr:cNvSpPr/>
      </xdr:nvSpPr>
      <xdr:spPr>
        <a:xfrm>
          <a:off x="4435005" y="1889094"/>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302107</xdr:colOff>
      <xdr:row>9</xdr:row>
      <xdr:rowOff>111436</xdr:rowOff>
    </xdr:from>
    <xdr:to>
      <xdr:col>5</xdr:col>
      <xdr:colOff>374107</xdr:colOff>
      <xdr:row>9</xdr:row>
      <xdr:rowOff>183772</xdr:rowOff>
    </xdr:to>
    <xdr:sp macro="" textlink="">
      <xdr:nvSpPr>
        <xdr:cNvPr id="456" name="Ellipse 455">
          <a:extLst>
            <a:ext uri="{FF2B5EF4-FFF2-40B4-BE49-F238E27FC236}">
              <a16:creationId xmlns:a16="http://schemas.microsoft.com/office/drawing/2014/main" id="{00000000-0008-0000-0B00-0000C8010000}"/>
            </a:ext>
          </a:extLst>
        </xdr:cNvPr>
        <xdr:cNvSpPr/>
      </xdr:nvSpPr>
      <xdr:spPr>
        <a:xfrm>
          <a:off x="4397857" y="182593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375017</xdr:colOff>
      <xdr:row>9</xdr:row>
      <xdr:rowOff>111436</xdr:rowOff>
    </xdr:from>
    <xdr:to>
      <xdr:col>5</xdr:col>
      <xdr:colOff>447017</xdr:colOff>
      <xdr:row>9</xdr:row>
      <xdr:rowOff>183772</xdr:rowOff>
    </xdr:to>
    <xdr:sp macro="" textlink="">
      <xdr:nvSpPr>
        <xdr:cNvPr id="457" name="Ellipse 456">
          <a:extLst>
            <a:ext uri="{FF2B5EF4-FFF2-40B4-BE49-F238E27FC236}">
              <a16:creationId xmlns:a16="http://schemas.microsoft.com/office/drawing/2014/main" id="{00000000-0008-0000-0B00-0000C9010000}"/>
            </a:ext>
          </a:extLst>
        </xdr:cNvPr>
        <xdr:cNvSpPr/>
      </xdr:nvSpPr>
      <xdr:spPr>
        <a:xfrm>
          <a:off x="4470767" y="182593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228765</xdr:colOff>
      <xdr:row>9</xdr:row>
      <xdr:rowOff>111436</xdr:rowOff>
    </xdr:from>
    <xdr:to>
      <xdr:col>5</xdr:col>
      <xdr:colOff>300765</xdr:colOff>
      <xdr:row>9</xdr:row>
      <xdr:rowOff>183772</xdr:rowOff>
    </xdr:to>
    <xdr:sp macro="" textlink="">
      <xdr:nvSpPr>
        <xdr:cNvPr id="458" name="Ellipse 457">
          <a:extLst>
            <a:ext uri="{FF2B5EF4-FFF2-40B4-BE49-F238E27FC236}">
              <a16:creationId xmlns:a16="http://schemas.microsoft.com/office/drawing/2014/main" id="{00000000-0008-0000-0B00-0000CA010000}"/>
            </a:ext>
          </a:extLst>
        </xdr:cNvPr>
        <xdr:cNvSpPr/>
      </xdr:nvSpPr>
      <xdr:spPr>
        <a:xfrm>
          <a:off x="4324515" y="182593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484554</xdr:colOff>
      <xdr:row>9</xdr:row>
      <xdr:rowOff>48278</xdr:rowOff>
    </xdr:from>
    <xdr:to>
      <xdr:col>5</xdr:col>
      <xdr:colOff>556554</xdr:colOff>
      <xdr:row>9</xdr:row>
      <xdr:rowOff>120614</xdr:rowOff>
    </xdr:to>
    <xdr:sp macro="" textlink="">
      <xdr:nvSpPr>
        <xdr:cNvPr id="459" name="Ellipse 458">
          <a:extLst>
            <a:ext uri="{FF2B5EF4-FFF2-40B4-BE49-F238E27FC236}">
              <a16:creationId xmlns:a16="http://schemas.microsoft.com/office/drawing/2014/main" id="{00000000-0008-0000-0B00-0000CB010000}"/>
            </a:ext>
          </a:extLst>
        </xdr:cNvPr>
        <xdr:cNvSpPr/>
      </xdr:nvSpPr>
      <xdr:spPr>
        <a:xfrm>
          <a:off x="4580304" y="176277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194405</xdr:colOff>
      <xdr:row>9</xdr:row>
      <xdr:rowOff>175605</xdr:rowOff>
    </xdr:from>
    <xdr:to>
      <xdr:col>5</xdr:col>
      <xdr:colOff>266405</xdr:colOff>
      <xdr:row>10</xdr:row>
      <xdr:rowOff>57441</xdr:rowOff>
    </xdr:to>
    <xdr:sp macro="" textlink="">
      <xdr:nvSpPr>
        <xdr:cNvPr id="460" name="Ellipse 459">
          <a:extLst>
            <a:ext uri="{FF2B5EF4-FFF2-40B4-BE49-F238E27FC236}">
              <a16:creationId xmlns:a16="http://schemas.microsoft.com/office/drawing/2014/main" id="{00000000-0008-0000-0B00-0000CC010000}"/>
            </a:ext>
          </a:extLst>
        </xdr:cNvPr>
        <xdr:cNvSpPr/>
      </xdr:nvSpPr>
      <xdr:spPr>
        <a:xfrm>
          <a:off x="4290155" y="189010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411645</xdr:colOff>
      <xdr:row>9</xdr:row>
      <xdr:rowOff>48278</xdr:rowOff>
    </xdr:from>
    <xdr:to>
      <xdr:col>5</xdr:col>
      <xdr:colOff>483645</xdr:colOff>
      <xdr:row>9</xdr:row>
      <xdr:rowOff>120614</xdr:rowOff>
    </xdr:to>
    <xdr:sp macro="" textlink="">
      <xdr:nvSpPr>
        <xdr:cNvPr id="461" name="Ellipse 460">
          <a:extLst>
            <a:ext uri="{FF2B5EF4-FFF2-40B4-BE49-F238E27FC236}">
              <a16:creationId xmlns:a16="http://schemas.microsoft.com/office/drawing/2014/main" id="{00000000-0008-0000-0B00-0000CD010000}"/>
            </a:ext>
          </a:extLst>
        </xdr:cNvPr>
        <xdr:cNvSpPr/>
      </xdr:nvSpPr>
      <xdr:spPr>
        <a:xfrm>
          <a:off x="4507395" y="176277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6832</xdr:colOff>
      <xdr:row>10</xdr:row>
      <xdr:rowOff>49890</xdr:rowOff>
    </xdr:from>
    <xdr:to>
      <xdr:col>5</xdr:col>
      <xdr:colOff>78832</xdr:colOff>
      <xdr:row>10</xdr:row>
      <xdr:rowOff>122226</xdr:rowOff>
    </xdr:to>
    <xdr:sp macro="" textlink="">
      <xdr:nvSpPr>
        <xdr:cNvPr id="462" name="Ellipse 461">
          <a:extLst>
            <a:ext uri="{FF2B5EF4-FFF2-40B4-BE49-F238E27FC236}">
              <a16:creationId xmlns:a16="http://schemas.microsoft.com/office/drawing/2014/main" id="{00000000-0008-0000-0B00-0000CE010000}"/>
            </a:ext>
          </a:extLst>
        </xdr:cNvPr>
        <xdr:cNvSpPr/>
      </xdr:nvSpPr>
      <xdr:spPr>
        <a:xfrm>
          <a:off x="4102582" y="195489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158280</xdr:colOff>
      <xdr:row>9</xdr:row>
      <xdr:rowOff>110850</xdr:rowOff>
    </xdr:from>
    <xdr:to>
      <xdr:col>5</xdr:col>
      <xdr:colOff>230280</xdr:colOff>
      <xdr:row>9</xdr:row>
      <xdr:rowOff>183186</xdr:rowOff>
    </xdr:to>
    <xdr:sp macro="" textlink="">
      <xdr:nvSpPr>
        <xdr:cNvPr id="463" name="Ellipse 462">
          <a:extLst>
            <a:ext uri="{FF2B5EF4-FFF2-40B4-BE49-F238E27FC236}">
              <a16:creationId xmlns:a16="http://schemas.microsoft.com/office/drawing/2014/main" id="{00000000-0008-0000-0B00-0000CF010000}"/>
            </a:ext>
          </a:extLst>
        </xdr:cNvPr>
        <xdr:cNvSpPr/>
      </xdr:nvSpPr>
      <xdr:spPr>
        <a:xfrm>
          <a:off x="4254030" y="182535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485940</xdr:colOff>
      <xdr:row>9</xdr:row>
      <xdr:rowOff>174594</xdr:rowOff>
    </xdr:from>
    <xdr:to>
      <xdr:col>5</xdr:col>
      <xdr:colOff>557940</xdr:colOff>
      <xdr:row>10</xdr:row>
      <xdr:rowOff>56430</xdr:rowOff>
    </xdr:to>
    <xdr:sp macro="" textlink="">
      <xdr:nvSpPr>
        <xdr:cNvPr id="464" name="Ellipse 463">
          <a:extLst>
            <a:ext uri="{FF2B5EF4-FFF2-40B4-BE49-F238E27FC236}">
              <a16:creationId xmlns:a16="http://schemas.microsoft.com/office/drawing/2014/main" id="{00000000-0008-0000-0B00-0000D0010000}"/>
            </a:ext>
          </a:extLst>
        </xdr:cNvPr>
        <xdr:cNvSpPr/>
      </xdr:nvSpPr>
      <xdr:spPr>
        <a:xfrm>
          <a:off x="4581690" y="1889094"/>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412597</xdr:colOff>
      <xdr:row>9</xdr:row>
      <xdr:rowOff>174594</xdr:rowOff>
    </xdr:from>
    <xdr:to>
      <xdr:col>5</xdr:col>
      <xdr:colOff>484597</xdr:colOff>
      <xdr:row>10</xdr:row>
      <xdr:rowOff>56430</xdr:rowOff>
    </xdr:to>
    <xdr:sp macro="" textlink="">
      <xdr:nvSpPr>
        <xdr:cNvPr id="465" name="Ellipse 464">
          <a:extLst>
            <a:ext uri="{FF2B5EF4-FFF2-40B4-BE49-F238E27FC236}">
              <a16:creationId xmlns:a16="http://schemas.microsoft.com/office/drawing/2014/main" id="{00000000-0008-0000-0B00-0000D1010000}"/>
            </a:ext>
          </a:extLst>
        </xdr:cNvPr>
        <xdr:cNvSpPr/>
      </xdr:nvSpPr>
      <xdr:spPr>
        <a:xfrm>
          <a:off x="4508347" y="1889094"/>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521702</xdr:colOff>
      <xdr:row>9</xdr:row>
      <xdr:rowOff>111436</xdr:rowOff>
    </xdr:from>
    <xdr:to>
      <xdr:col>5</xdr:col>
      <xdr:colOff>593702</xdr:colOff>
      <xdr:row>9</xdr:row>
      <xdr:rowOff>183772</xdr:rowOff>
    </xdr:to>
    <xdr:sp macro="" textlink="">
      <xdr:nvSpPr>
        <xdr:cNvPr id="466" name="Ellipse 465">
          <a:extLst>
            <a:ext uri="{FF2B5EF4-FFF2-40B4-BE49-F238E27FC236}">
              <a16:creationId xmlns:a16="http://schemas.microsoft.com/office/drawing/2014/main" id="{00000000-0008-0000-0B00-0000D2010000}"/>
            </a:ext>
          </a:extLst>
        </xdr:cNvPr>
        <xdr:cNvSpPr/>
      </xdr:nvSpPr>
      <xdr:spPr>
        <a:xfrm>
          <a:off x="4617452" y="182593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448359</xdr:colOff>
      <xdr:row>9</xdr:row>
      <xdr:rowOff>111436</xdr:rowOff>
    </xdr:from>
    <xdr:to>
      <xdr:col>5</xdr:col>
      <xdr:colOff>520359</xdr:colOff>
      <xdr:row>9</xdr:row>
      <xdr:rowOff>183772</xdr:rowOff>
    </xdr:to>
    <xdr:sp macro="" textlink="">
      <xdr:nvSpPr>
        <xdr:cNvPr id="467" name="Ellipse 466">
          <a:extLst>
            <a:ext uri="{FF2B5EF4-FFF2-40B4-BE49-F238E27FC236}">
              <a16:creationId xmlns:a16="http://schemas.microsoft.com/office/drawing/2014/main" id="{00000000-0008-0000-0B00-0000D3010000}"/>
            </a:ext>
          </a:extLst>
        </xdr:cNvPr>
        <xdr:cNvSpPr/>
      </xdr:nvSpPr>
      <xdr:spPr>
        <a:xfrm>
          <a:off x="4544109" y="182593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672868</xdr:colOff>
      <xdr:row>9</xdr:row>
      <xdr:rowOff>109370</xdr:rowOff>
    </xdr:from>
    <xdr:to>
      <xdr:col>5</xdr:col>
      <xdr:colOff>744868</xdr:colOff>
      <xdr:row>9</xdr:row>
      <xdr:rowOff>181706</xdr:rowOff>
    </xdr:to>
    <xdr:sp macro="" textlink="">
      <xdr:nvSpPr>
        <xdr:cNvPr id="468" name="Ellipse 467">
          <a:extLst>
            <a:ext uri="{FF2B5EF4-FFF2-40B4-BE49-F238E27FC236}">
              <a16:creationId xmlns:a16="http://schemas.microsoft.com/office/drawing/2014/main" id="{00000000-0008-0000-0B00-0000D4010000}"/>
            </a:ext>
          </a:extLst>
        </xdr:cNvPr>
        <xdr:cNvSpPr/>
      </xdr:nvSpPr>
      <xdr:spPr>
        <a:xfrm>
          <a:off x="4768618" y="182387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48981</xdr:colOff>
      <xdr:row>9</xdr:row>
      <xdr:rowOff>174140</xdr:rowOff>
    </xdr:from>
    <xdr:to>
      <xdr:col>5</xdr:col>
      <xdr:colOff>120981</xdr:colOff>
      <xdr:row>10</xdr:row>
      <xdr:rowOff>55976</xdr:rowOff>
    </xdr:to>
    <xdr:sp macro="" textlink="">
      <xdr:nvSpPr>
        <xdr:cNvPr id="469" name="Ellipse 468">
          <a:extLst>
            <a:ext uri="{FF2B5EF4-FFF2-40B4-BE49-F238E27FC236}">
              <a16:creationId xmlns:a16="http://schemas.microsoft.com/office/drawing/2014/main" id="{00000000-0008-0000-0B00-0000D5010000}"/>
            </a:ext>
          </a:extLst>
        </xdr:cNvPr>
        <xdr:cNvSpPr/>
      </xdr:nvSpPr>
      <xdr:spPr>
        <a:xfrm>
          <a:off x="4144731" y="188864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381684</xdr:colOff>
      <xdr:row>10</xdr:row>
      <xdr:rowOff>51099</xdr:rowOff>
    </xdr:from>
    <xdr:to>
      <xdr:col>5</xdr:col>
      <xdr:colOff>453684</xdr:colOff>
      <xdr:row>10</xdr:row>
      <xdr:rowOff>123435</xdr:rowOff>
    </xdr:to>
    <xdr:sp macro="" textlink="">
      <xdr:nvSpPr>
        <xdr:cNvPr id="470" name="Ellipse 469">
          <a:extLst>
            <a:ext uri="{FF2B5EF4-FFF2-40B4-BE49-F238E27FC236}">
              <a16:creationId xmlns:a16="http://schemas.microsoft.com/office/drawing/2014/main" id="{00000000-0008-0000-0B00-0000D6010000}"/>
            </a:ext>
          </a:extLst>
        </xdr:cNvPr>
        <xdr:cNvSpPr/>
      </xdr:nvSpPr>
      <xdr:spPr>
        <a:xfrm>
          <a:off x="4477434" y="1956099"/>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122323</xdr:colOff>
      <xdr:row>9</xdr:row>
      <xdr:rowOff>174140</xdr:rowOff>
    </xdr:from>
    <xdr:to>
      <xdr:col>5</xdr:col>
      <xdr:colOff>194323</xdr:colOff>
      <xdr:row>10</xdr:row>
      <xdr:rowOff>55976</xdr:rowOff>
    </xdr:to>
    <xdr:sp macro="" textlink="">
      <xdr:nvSpPr>
        <xdr:cNvPr id="471" name="Ellipse 470">
          <a:extLst>
            <a:ext uri="{FF2B5EF4-FFF2-40B4-BE49-F238E27FC236}">
              <a16:creationId xmlns:a16="http://schemas.microsoft.com/office/drawing/2014/main" id="{00000000-0008-0000-0B00-0000D7010000}"/>
            </a:ext>
          </a:extLst>
        </xdr:cNvPr>
        <xdr:cNvSpPr/>
      </xdr:nvSpPr>
      <xdr:spPr>
        <a:xfrm>
          <a:off x="4218073" y="188864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5</xdr:col>
      <xdr:colOff>66675</xdr:colOff>
      <xdr:row>6</xdr:row>
      <xdr:rowOff>57150</xdr:rowOff>
    </xdr:from>
    <xdr:to>
      <xdr:col>5</xdr:col>
      <xdr:colOff>138675</xdr:colOff>
      <xdr:row>6</xdr:row>
      <xdr:rowOff>129486</xdr:rowOff>
    </xdr:to>
    <xdr:sp macro="" textlink="">
      <xdr:nvSpPr>
        <xdr:cNvPr id="2" name="Ellipse 1">
          <a:extLst>
            <a:ext uri="{FF2B5EF4-FFF2-40B4-BE49-F238E27FC236}">
              <a16:creationId xmlns:a16="http://schemas.microsoft.com/office/drawing/2014/main" id="{00000000-0008-0000-0C00-000002000000}"/>
            </a:ext>
          </a:extLst>
        </xdr:cNvPr>
        <xdr:cNvSpPr/>
      </xdr:nvSpPr>
      <xdr:spPr>
        <a:xfrm>
          <a:off x="4829175" y="120015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66675</xdr:colOff>
      <xdr:row>7</xdr:row>
      <xdr:rowOff>57150</xdr:rowOff>
    </xdr:from>
    <xdr:to>
      <xdr:col>5</xdr:col>
      <xdr:colOff>138675</xdr:colOff>
      <xdr:row>7</xdr:row>
      <xdr:rowOff>129486</xdr:rowOff>
    </xdr:to>
    <xdr:sp macro="" textlink="">
      <xdr:nvSpPr>
        <xdr:cNvPr id="3" name="Ellipse 2">
          <a:extLst>
            <a:ext uri="{FF2B5EF4-FFF2-40B4-BE49-F238E27FC236}">
              <a16:creationId xmlns:a16="http://schemas.microsoft.com/office/drawing/2014/main" id="{00000000-0008-0000-0C00-000003000000}"/>
            </a:ext>
          </a:extLst>
        </xdr:cNvPr>
        <xdr:cNvSpPr/>
      </xdr:nvSpPr>
      <xdr:spPr>
        <a:xfrm>
          <a:off x="4829175" y="139065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144064</xdr:colOff>
      <xdr:row>7</xdr:row>
      <xdr:rowOff>57150</xdr:rowOff>
    </xdr:from>
    <xdr:to>
      <xdr:col>5</xdr:col>
      <xdr:colOff>216064</xdr:colOff>
      <xdr:row>7</xdr:row>
      <xdr:rowOff>129486</xdr:rowOff>
    </xdr:to>
    <xdr:sp macro="" textlink="">
      <xdr:nvSpPr>
        <xdr:cNvPr id="4" name="Ellipse 3">
          <a:extLst>
            <a:ext uri="{FF2B5EF4-FFF2-40B4-BE49-F238E27FC236}">
              <a16:creationId xmlns:a16="http://schemas.microsoft.com/office/drawing/2014/main" id="{00000000-0008-0000-0C00-000004000000}"/>
            </a:ext>
          </a:extLst>
        </xdr:cNvPr>
        <xdr:cNvSpPr/>
      </xdr:nvSpPr>
      <xdr:spPr>
        <a:xfrm>
          <a:off x="4894658" y="139065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96440</xdr:colOff>
      <xdr:row>8</xdr:row>
      <xdr:rowOff>21424</xdr:rowOff>
    </xdr:from>
    <xdr:to>
      <xdr:col>5</xdr:col>
      <xdr:colOff>168440</xdr:colOff>
      <xdr:row>8</xdr:row>
      <xdr:rowOff>93760</xdr:rowOff>
    </xdr:to>
    <xdr:sp macro="" textlink="">
      <xdr:nvSpPr>
        <xdr:cNvPr id="5" name="Ellipse 4">
          <a:extLst>
            <a:ext uri="{FF2B5EF4-FFF2-40B4-BE49-F238E27FC236}">
              <a16:creationId xmlns:a16="http://schemas.microsoft.com/office/drawing/2014/main" id="{00000000-0008-0000-0C00-000005000000}"/>
            </a:ext>
          </a:extLst>
        </xdr:cNvPr>
        <xdr:cNvSpPr/>
      </xdr:nvSpPr>
      <xdr:spPr>
        <a:xfrm>
          <a:off x="4847034" y="1545424"/>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60722</xdr:colOff>
      <xdr:row>8</xdr:row>
      <xdr:rowOff>92864</xdr:rowOff>
    </xdr:from>
    <xdr:to>
      <xdr:col>5</xdr:col>
      <xdr:colOff>132722</xdr:colOff>
      <xdr:row>8</xdr:row>
      <xdr:rowOff>165200</xdr:rowOff>
    </xdr:to>
    <xdr:sp macro="" textlink="">
      <xdr:nvSpPr>
        <xdr:cNvPr id="6" name="Ellipse 5">
          <a:extLst>
            <a:ext uri="{FF2B5EF4-FFF2-40B4-BE49-F238E27FC236}">
              <a16:creationId xmlns:a16="http://schemas.microsoft.com/office/drawing/2014/main" id="{00000000-0008-0000-0C00-000006000000}"/>
            </a:ext>
          </a:extLst>
        </xdr:cNvPr>
        <xdr:cNvSpPr/>
      </xdr:nvSpPr>
      <xdr:spPr>
        <a:xfrm>
          <a:off x="4811316" y="1616864"/>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138111</xdr:colOff>
      <xdr:row>8</xdr:row>
      <xdr:rowOff>92864</xdr:rowOff>
    </xdr:from>
    <xdr:to>
      <xdr:col>5</xdr:col>
      <xdr:colOff>210111</xdr:colOff>
      <xdr:row>8</xdr:row>
      <xdr:rowOff>165200</xdr:rowOff>
    </xdr:to>
    <xdr:sp macro="" textlink="">
      <xdr:nvSpPr>
        <xdr:cNvPr id="7" name="Ellipse 6">
          <a:extLst>
            <a:ext uri="{FF2B5EF4-FFF2-40B4-BE49-F238E27FC236}">
              <a16:creationId xmlns:a16="http://schemas.microsoft.com/office/drawing/2014/main" id="{00000000-0008-0000-0C00-000007000000}"/>
            </a:ext>
          </a:extLst>
        </xdr:cNvPr>
        <xdr:cNvSpPr/>
      </xdr:nvSpPr>
      <xdr:spPr>
        <a:xfrm>
          <a:off x="4888705" y="1616864"/>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220267</xdr:colOff>
      <xdr:row>9</xdr:row>
      <xdr:rowOff>65490</xdr:rowOff>
    </xdr:from>
    <xdr:to>
      <xdr:col>5</xdr:col>
      <xdr:colOff>292267</xdr:colOff>
      <xdr:row>9</xdr:row>
      <xdr:rowOff>137826</xdr:rowOff>
    </xdr:to>
    <xdr:sp macro="" textlink="">
      <xdr:nvSpPr>
        <xdr:cNvPr id="8" name="Ellipse 7">
          <a:extLst>
            <a:ext uri="{FF2B5EF4-FFF2-40B4-BE49-F238E27FC236}">
              <a16:creationId xmlns:a16="http://schemas.microsoft.com/office/drawing/2014/main" id="{00000000-0008-0000-0C00-000008000000}"/>
            </a:ext>
          </a:extLst>
        </xdr:cNvPr>
        <xdr:cNvSpPr/>
      </xdr:nvSpPr>
      <xdr:spPr>
        <a:xfrm>
          <a:off x="4970861" y="177999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65489</xdr:colOff>
      <xdr:row>9</xdr:row>
      <xdr:rowOff>65494</xdr:rowOff>
    </xdr:from>
    <xdr:to>
      <xdr:col>5</xdr:col>
      <xdr:colOff>137489</xdr:colOff>
      <xdr:row>9</xdr:row>
      <xdr:rowOff>137830</xdr:rowOff>
    </xdr:to>
    <xdr:sp macro="" textlink="">
      <xdr:nvSpPr>
        <xdr:cNvPr id="9" name="Ellipse 8">
          <a:extLst>
            <a:ext uri="{FF2B5EF4-FFF2-40B4-BE49-F238E27FC236}">
              <a16:creationId xmlns:a16="http://schemas.microsoft.com/office/drawing/2014/main" id="{00000000-0008-0000-0C00-000009000000}"/>
            </a:ext>
          </a:extLst>
        </xdr:cNvPr>
        <xdr:cNvSpPr/>
      </xdr:nvSpPr>
      <xdr:spPr>
        <a:xfrm>
          <a:off x="4816083" y="1779994"/>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142878</xdr:colOff>
      <xdr:row>9</xdr:row>
      <xdr:rowOff>65494</xdr:rowOff>
    </xdr:from>
    <xdr:to>
      <xdr:col>5</xdr:col>
      <xdr:colOff>214878</xdr:colOff>
      <xdr:row>9</xdr:row>
      <xdr:rowOff>137830</xdr:rowOff>
    </xdr:to>
    <xdr:sp macro="" textlink="">
      <xdr:nvSpPr>
        <xdr:cNvPr id="10" name="Ellipse 9">
          <a:extLst>
            <a:ext uri="{FF2B5EF4-FFF2-40B4-BE49-F238E27FC236}">
              <a16:creationId xmlns:a16="http://schemas.microsoft.com/office/drawing/2014/main" id="{00000000-0008-0000-0C00-00000A000000}"/>
            </a:ext>
          </a:extLst>
        </xdr:cNvPr>
        <xdr:cNvSpPr/>
      </xdr:nvSpPr>
      <xdr:spPr>
        <a:xfrm>
          <a:off x="4893472" y="1779994"/>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220261</xdr:colOff>
      <xdr:row>10</xdr:row>
      <xdr:rowOff>89295</xdr:rowOff>
    </xdr:from>
    <xdr:to>
      <xdr:col>5</xdr:col>
      <xdr:colOff>292261</xdr:colOff>
      <xdr:row>10</xdr:row>
      <xdr:rowOff>161631</xdr:rowOff>
    </xdr:to>
    <xdr:sp macro="" textlink="">
      <xdr:nvSpPr>
        <xdr:cNvPr id="14" name="Ellipse 13">
          <a:extLst>
            <a:ext uri="{FF2B5EF4-FFF2-40B4-BE49-F238E27FC236}">
              <a16:creationId xmlns:a16="http://schemas.microsoft.com/office/drawing/2014/main" id="{00000000-0008-0000-0C00-00000E000000}"/>
            </a:ext>
          </a:extLst>
        </xdr:cNvPr>
        <xdr:cNvSpPr/>
      </xdr:nvSpPr>
      <xdr:spPr>
        <a:xfrm>
          <a:off x="4970855" y="199429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65483</xdr:colOff>
      <xdr:row>10</xdr:row>
      <xdr:rowOff>89299</xdr:rowOff>
    </xdr:from>
    <xdr:to>
      <xdr:col>5</xdr:col>
      <xdr:colOff>137483</xdr:colOff>
      <xdr:row>10</xdr:row>
      <xdr:rowOff>161635</xdr:rowOff>
    </xdr:to>
    <xdr:sp macro="" textlink="">
      <xdr:nvSpPr>
        <xdr:cNvPr id="15" name="Ellipse 14">
          <a:extLst>
            <a:ext uri="{FF2B5EF4-FFF2-40B4-BE49-F238E27FC236}">
              <a16:creationId xmlns:a16="http://schemas.microsoft.com/office/drawing/2014/main" id="{00000000-0008-0000-0C00-00000F000000}"/>
            </a:ext>
          </a:extLst>
        </xdr:cNvPr>
        <xdr:cNvSpPr/>
      </xdr:nvSpPr>
      <xdr:spPr>
        <a:xfrm>
          <a:off x="4816077" y="1994299"/>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142872</xdr:colOff>
      <xdr:row>10</xdr:row>
      <xdr:rowOff>89299</xdr:rowOff>
    </xdr:from>
    <xdr:to>
      <xdr:col>5</xdr:col>
      <xdr:colOff>214872</xdr:colOff>
      <xdr:row>10</xdr:row>
      <xdr:rowOff>161635</xdr:rowOff>
    </xdr:to>
    <xdr:sp macro="" textlink="">
      <xdr:nvSpPr>
        <xdr:cNvPr id="16" name="Ellipse 15">
          <a:extLst>
            <a:ext uri="{FF2B5EF4-FFF2-40B4-BE49-F238E27FC236}">
              <a16:creationId xmlns:a16="http://schemas.microsoft.com/office/drawing/2014/main" id="{00000000-0008-0000-0C00-000010000000}"/>
            </a:ext>
          </a:extLst>
        </xdr:cNvPr>
        <xdr:cNvSpPr/>
      </xdr:nvSpPr>
      <xdr:spPr>
        <a:xfrm>
          <a:off x="4893466" y="1994299"/>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104776</xdr:colOff>
      <xdr:row>10</xdr:row>
      <xdr:rowOff>15485</xdr:rowOff>
    </xdr:from>
    <xdr:to>
      <xdr:col>5</xdr:col>
      <xdr:colOff>176776</xdr:colOff>
      <xdr:row>10</xdr:row>
      <xdr:rowOff>87821</xdr:rowOff>
    </xdr:to>
    <xdr:sp macro="" textlink="">
      <xdr:nvSpPr>
        <xdr:cNvPr id="17" name="Ellipse 16">
          <a:extLst>
            <a:ext uri="{FF2B5EF4-FFF2-40B4-BE49-F238E27FC236}">
              <a16:creationId xmlns:a16="http://schemas.microsoft.com/office/drawing/2014/main" id="{00000000-0008-0000-0C00-000011000000}"/>
            </a:ext>
          </a:extLst>
        </xdr:cNvPr>
        <xdr:cNvSpPr/>
      </xdr:nvSpPr>
      <xdr:spPr>
        <a:xfrm>
          <a:off x="4855370" y="192048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223836</xdr:colOff>
      <xdr:row>11</xdr:row>
      <xdr:rowOff>63105</xdr:rowOff>
    </xdr:from>
    <xdr:to>
      <xdr:col>5</xdr:col>
      <xdr:colOff>295836</xdr:colOff>
      <xdr:row>11</xdr:row>
      <xdr:rowOff>135441</xdr:rowOff>
    </xdr:to>
    <xdr:sp macro="" textlink="">
      <xdr:nvSpPr>
        <xdr:cNvPr id="18" name="Ellipse 17">
          <a:extLst>
            <a:ext uri="{FF2B5EF4-FFF2-40B4-BE49-F238E27FC236}">
              <a16:creationId xmlns:a16="http://schemas.microsoft.com/office/drawing/2014/main" id="{00000000-0008-0000-0C00-000012000000}"/>
            </a:ext>
          </a:extLst>
        </xdr:cNvPr>
        <xdr:cNvSpPr/>
      </xdr:nvSpPr>
      <xdr:spPr>
        <a:xfrm>
          <a:off x="4986336" y="215860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69058</xdr:colOff>
      <xdr:row>11</xdr:row>
      <xdr:rowOff>63105</xdr:rowOff>
    </xdr:from>
    <xdr:to>
      <xdr:col>5</xdr:col>
      <xdr:colOff>141058</xdr:colOff>
      <xdr:row>11</xdr:row>
      <xdr:rowOff>135441</xdr:rowOff>
    </xdr:to>
    <xdr:sp macro="" textlink="">
      <xdr:nvSpPr>
        <xdr:cNvPr id="19" name="Ellipse 18">
          <a:extLst>
            <a:ext uri="{FF2B5EF4-FFF2-40B4-BE49-F238E27FC236}">
              <a16:creationId xmlns:a16="http://schemas.microsoft.com/office/drawing/2014/main" id="{00000000-0008-0000-0C00-000013000000}"/>
            </a:ext>
          </a:extLst>
        </xdr:cNvPr>
        <xdr:cNvSpPr/>
      </xdr:nvSpPr>
      <xdr:spPr>
        <a:xfrm>
          <a:off x="4831558" y="215860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146447</xdr:colOff>
      <xdr:row>11</xdr:row>
      <xdr:rowOff>63105</xdr:rowOff>
    </xdr:from>
    <xdr:to>
      <xdr:col>5</xdr:col>
      <xdr:colOff>218447</xdr:colOff>
      <xdr:row>11</xdr:row>
      <xdr:rowOff>135441</xdr:rowOff>
    </xdr:to>
    <xdr:sp macro="" textlink="">
      <xdr:nvSpPr>
        <xdr:cNvPr id="20" name="Ellipse 19">
          <a:extLst>
            <a:ext uri="{FF2B5EF4-FFF2-40B4-BE49-F238E27FC236}">
              <a16:creationId xmlns:a16="http://schemas.microsoft.com/office/drawing/2014/main" id="{00000000-0008-0000-0C00-000014000000}"/>
            </a:ext>
          </a:extLst>
        </xdr:cNvPr>
        <xdr:cNvSpPr/>
      </xdr:nvSpPr>
      <xdr:spPr>
        <a:xfrm>
          <a:off x="4908947" y="215860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297996</xdr:colOff>
      <xdr:row>11</xdr:row>
      <xdr:rowOff>63105</xdr:rowOff>
    </xdr:from>
    <xdr:to>
      <xdr:col>5</xdr:col>
      <xdr:colOff>369996</xdr:colOff>
      <xdr:row>11</xdr:row>
      <xdr:rowOff>135441</xdr:rowOff>
    </xdr:to>
    <xdr:sp macro="" textlink="">
      <xdr:nvSpPr>
        <xdr:cNvPr id="21" name="Ellipse 20">
          <a:extLst>
            <a:ext uri="{FF2B5EF4-FFF2-40B4-BE49-F238E27FC236}">
              <a16:creationId xmlns:a16="http://schemas.microsoft.com/office/drawing/2014/main" id="{00000000-0008-0000-0C00-000015000000}"/>
            </a:ext>
          </a:extLst>
        </xdr:cNvPr>
        <xdr:cNvSpPr/>
      </xdr:nvSpPr>
      <xdr:spPr>
        <a:xfrm>
          <a:off x="5060496" y="215860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229789</xdr:colOff>
      <xdr:row>12</xdr:row>
      <xdr:rowOff>86909</xdr:rowOff>
    </xdr:from>
    <xdr:to>
      <xdr:col>5</xdr:col>
      <xdr:colOff>301789</xdr:colOff>
      <xdr:row>12</xdr:row>
      <xdr:rowOff>159245</xdr:rowOff>
    </xdr:to>
    <xdr:sp macro="" textlink="">
      <xdr:nvSpPr>
        <xdr:cNvPr id="22" name="Ellipse 21">
          <a:extLst>
            <a:ext uri="{FF2B5EF4-FFF2-40B4-BE49-F238E27FC236}">
              <a16:creationId xmlns:a16="http://schemas.microsoft.com/office/drawing/2014/main" id="{00000000-0008-0000-0C00-000016000000}"/>
            </a:ext>
          </a:extLst>
        </xdr:cNvPr>
        <xdr:cNvSpPr/>
      </xdr:nvSpPr>
      <xdr:spPr>
        <a:xfrm>
          <a:off x="4980383" y="2372909"/>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75011</xdr:colOff>
      <xdr:row>12</xdr:row>
      <xdr:rowOff>86913</xdr:rowOff>
    </xdr:from>
    <xdr:to>
      <xdr:col>5</xdr:col>
      <xdr:colOff>147011</xdr:colOff>
      <xdr:row>12</xdr:row>
      <xdr:rowOff>159249</xdr:rowOff>
    </xdr:to>
    <xdr:sp macro="" textlink="">
      <xdr:nvSpPr>
        <xdr:cNvPr id="23" name="Ellipse 22">
          <a:extLst>
            <a:ext uri="{FF2B5EF4-FFF2-40B4-BE49-F238E27FC236}">
              <a16:creationId xmlns:a16="http://schemas.microsoft.com/office/drawing/2014/main" id="{00000000-0008-0000-0C00-000017000000}"/>
            </a:ext>
          </a:extLst>
        </xdr:cNvPr>
        <xdr:cNvSpPr/>
      </xdr:nvSpPr>
      <xdr:spPr>
        <a:xfrm>
          <a:off x="4825605" y="2372913"/>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152400</xdr:colOff>
      <xdr:row>12</xdr:row>
      <xdr:rowOff>86913</xdr:rowOff>
    </xdr:from>
    <xdr:to>
      <xdr:col>5</xdr:col>
      <xdr:colOff>224400</xdr:colOff>
      <xdr:row>12</xdr:row>
      <xdr:rowOff>159249</xdr:rowOff>
    </xdr:to>
    <xdr:sp macro="" textlink="">
      <xdr:nvSpPr>
        <xdr:cNvPr id="24" name="Ellipse 23">
          <a:extLst>
            <a:ext uri="{FF2B5EF4-FFF2-40B4-BE49-F238E27FC236}">
              <a16:creationId xmlns:a16="http://schemas.microsoft.com/office/drawing/2014/main" id="{00000000-0008-0000-0C00-000018000000}"/>
            </a:ext>
          </a:extLst>
        </xdr:cNvPr>
        <xdr:cNvSpPr/>
      </xdr:nvSpPr>
      <xdr:spPr>
        <a:xfrm>
          <a:off x="4902994" y="2372913"/>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233364</xdr:colOff>
      <xdr:row>13</xdr:row>
      <xdr:rowOff>58341</xdr:rowOff>
    </xdr:from>
    <xdr:to>
      <xdr:col>5</xdr:col>
      <xdr:colOff>305364</xdr:colOff>
      <xdr:row>13</xdr:row>
      <xdr:rowOff>130677</xdr:rowOff>
    </xdr:to>
    <xdr:sp macro="" textlink="">
      <xdr:nvSpPr>
        <xdr:cNvPr id="25" name="Ellipse 24">
          <a:extLst>
            <a:ext uri="{FF2B5EF4-FFF2-40B4-BE49-F238E27FC236}">
              <a16:creationId xmlns:a16="http://schemas.microsoft.com/office/drawing/2014/main" id="{00000000-0008-0000-0C00-000019000000}"/>
            </a:ext>
          </a:extLst>
        </xdr:cNvPr>
        <xdr:cNvSpPr/>
      </xdr:nvSpPr>
      <xdr:spPr>
        <a:xfrm>
          <a:off x="4995864" y="253484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78586</xdr:colOff>
      <xdr:row>13</xdr:row>
      <xdr:rowOff>58341</xdr:rowOff>
    </xdr:from>
    <xdr:to>
      <xdr:col>5</xdr:col>
      <xdr:colOff>150586</xdr:colOff>
      <xdr:row>13</xdr:row>
      <xdr:rowOff>130677</xdr:rowOff>
    </xdr:to>
    <xdr:sp macro="" textlink="">
      <xdr:nvSpPr>
        <xdr:cNvPr id="26" name="Ellipse 25">
          <a:extLst>
            <a:ext uri="{FF2B5EF4-FFF2-40B4-BE49-F238E27FC236}">
              <a16:creationId xmlns:a16="http://schemas.microsoft.com/office/drawing/2014/main" id="{00000000-0008-0000-0C00-00001A000000}"/>
            </a:ext>
          </a:extLst>
        </xdr:cNvPr>
        <xdr:cNvSpPr/>
      </xdr:nvSpPr>
      <xdr:spPr>
        <a:xfrm>
          <a:off x="4841086" y="253484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155975</xdr:colOff>
      <xdr:row>13</xdr:row>
      <xdr:rowOff>58341</xdr:rowOff>
    </xdr:from>
    <xdr:to>
      <xdr:col>5</xdr:col>
      <xdr:colOff>227975</xdr:colOff>
      <xdr:row>13</xdr:row>
      <xdr:rowOff>130677</xdr:rowOff>
    </xdr:to>
    <xdr:sp macro="" textlink="">
      <xdr:nvSpPr>
        <xdr:cNvPr id="27" name="Ellipse 26">
          <a:extLst>
            <a:ext uri="{FF2B5EF4-FFF2-40B4-BE49-F238E27FC236}">
              <a16:creationId xmlns:a16="http://schemas.microsoft.com/office/drawing/2014/main" id="{00000000-0008-0000-0C00-00001B000000}"/>
            </a:ext>
          </a:extLst>
        </xdr:cNvPr>
        <xdr:cNvSpPr/>
      </xdr:nvSpPr>
      <xdr:spPr>
        <a:xfrm>
          <a:off x="4918475" y="253484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308375</xdr:colOff>
      <xdr:row>13</xdr:row>
      <xdr:rowOff>58341</xdr:rowOff>
    </xdr:from>
    <xdr:to>
      <xdr:col>5</xdr:col>
      <xdr:colOff>380375</xdr:colOff>
      <xdr:row>13</xdr:row>
      <xdr:rowOff>130677</xdr:rowOff>
    </xdr:to>
    <xdr:sp macro="" textlink="">
      <xdr:nvSpPr>
        <xdr:cNvPr id="28" name="Ellipse 27">
          <a:extLst>
            <a:ext uri="{FF2B5EF4-FFF2-40B4-BE49-F238E27FC236}">
              <a16:creationId xmlns:a16="http://schemas.microsoft.com/office/drawing/2014/main" id="{00000000-0008-0000-0C00-00001C000000}"/>
            </a:ext>
          </a:extLst>
        </xdr:cNvPr>
        <xdr:cNvSpPr/>
      </xdr:nvSpPr>
      <xdr:spPr>
        <a:xfrm>
          <a:off x="5070875" y="253484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388145</xdr:colOff>
      <xdr:row>13</xdr:row>
      <xdr:rowOff>58341</xdr:rowOff>
    </xdr:from>
    <xdr:to>
      <xdr:col>5</xdr:col>
      <xdr:colOff>460145</xdr:colOff>
      <xdr:row>13</xdr:row>
      <xdr:rowOff>130677</xdr:rowOff>
    </xdr:to>
    <xdr:sp macro="" textlink="">
      <xdr:nvSpPr>
        <xdr:cNvPr id="29" name="Ellipse 28">
          <a:extLst>
            <a:ext uri="{FF2B5EF4-FFF2-40B4-BE49-F238E27FC236}">
              <a16:creationId xmlns:a16="http://schemas.microsoft.com/office/drawing/2014/main" id="{00000000-0008-0000-0C00-00001D000000}"/>
            </a:ext>
          </a:extLst>
        </xdr:cNvPr>
        <xdr:cNvSpPr/>
      </xdr:nvSpPr>
      <xdr:spPr>
        <a:xfrm>
          <a:off x="5150645" y="253484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113110</xdr:colOff>
      <xdr:row>12</xdr:row>
      <xdr:rowOff>23812</xdr:rowOff>
    </xdr:from>
    <xdr:to>
      <xdr:col>5</xdr:col>
      <xdr:colOff>185110</xdr:colOff>
      <xdr:row>12</xdr:row>
      <xdr:rowOff>96148</xdr:rowOff>
    </xdr:to>
    <xdr:sp macro="" textlink="">
      <xdr:nvSpPr>
        <xdr:cNvPr id="30" name="Ellipse 29">
          <a:extLst>
            <a:ext uri="{FF2B5EF4-FFF2-40B4-BE49-F238E27FC236}">
              <a16:creationId xmlns:a16="http://schemas.microsoft.com/office/drawing/2014/main" id="{00000000-0008-0000-0C00-00001E000000}"/>
            </a:ext>
          </a:extLst>
        </xdr:cNvPr>
        <xdr:cNvSpPr/>
      </xdr:nvSpPr>
      <xdr:spPr>
        <a:xfrm>
          <a:off x="4863704" y="23098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190501</xdr:colOff>
      <xdr:row>12</xdr:row>
      <xdr:rowOff>23812</xdr:rowOff>
    </xdr:from>
    <xdr:to>
      <xdr:col>5</xdr:col>
      <xdr:colOff>262501</xdr:colOff>
      <xdr:row>12</xdr:row>
      <xdr:rowOff>96148</xdr:rowOff>
    </xdr:to>
    <xdr:sp macro="" textlink="">
      <xdr:nvSpPr>
        <xdr:cNvPr id="31" name="Ellipse 30">
          <a:extLst>
            <a:ext uri="{FF2B5EF4-FFF2-40B4-BE49-F238E27FC236}">
              <a16:creationId xmlns:a16="http://schemas.microsoft.com/office/drawing/2014/main" id="{00000000-0008-0000-0C00-00001F000000}"/>
            </a:ext>
          </a:extLst>
        </xdr:cNvPr>
        <xdr:cNvSpPr/>
      </xdr:nvSpPr>
      <xdr:spPr>
        <a:xfrm>
          <a:off x="4941095" y="2309812"/>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229620</xdr:colOff>
      <xdr:row>14</xdr:row>
      <xdr:rowOff>95613</xdr:rowOff>
    </xdr:from>
    <xdr:to>
      <xdr:col>5</xdr:col>
      <xdr:colOff>301620</xdr:colOff>
      <xdr:row>14</xdr:row>
      <xdr:rowOff>167949</xdr:rowOff>
    </xdr:to>
    <xdr:sp macro="" textlink="">
      <xdr:nvSpPr>
        <xdr:cNvPr id="32" name="Ellipse 31">
          <a:extLst>
            <a:ext uri="{FF2B5EF4-FFF2-40B4-BE49-F238E27FC236}">
              <a16:creationId xmlns:a16="http://schemas.microsoft.com/office/drawing/2014/main" id="{00000000-0008-0000-0C00-000020000000}"/>
            </a:ext>
          </a:extLst>
        </xdr:cNvPr>
        <xdr:cNvSpPr/>
      </xdr:nvSpPr>
      <xdr:spPr>
        <a:xfrm>
          <a:off x="4986828" y="2762613"/>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74842</xdr:colOff>
      <xdr:row>14</xdr:row>
      <xdr:rowOff>95617</xdr:rowOff>
    </xdr:from>
    <xdr:to>
      <xdr:col>5</xdr:col>
      <xdr:colOff>146842</xdr:colOff>
      <xdr:row>14</xdr:row>
      <xdr:rowOff>167953</xdr:rowOff>
    </xdr:to>
    <xdr:sp macro="" textlink="">
      <xdr:nvSpPr>
        <xdr:cNvPr id="33" name="Ellipse 32">
          <a:extLst>
            <a:ext uri="{FF2B5EF4-FFF2-40B4-BE49-F238E27FC236}">
              <a16:creationId xmlns:a16="http://schemas.microsoft.com/office/drawing/2014/main" id="{00000000-0008-0000-0C00-000021000000}"/>
            </a:ext>
          </a:extLst>
        </xdr:cNvPr>
        <xdr:cNvSpPr/>
      </xdr:nvSpPr>
      <xdr:spPr>
        <a:xfrm>
          <a:off x="4832050" y="2762617"/>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152231</xdr:colOff>
      <xdr:row>14</xdr:row>
      <xdr:rowOff>95617</xdr:rowOff>
    </xdr:from>
    <xdr:to>
      <xdr:col>5</xdr:col>
      <xdr:colOff>224231</xdr:colOff>
      <xdr:row>14</xdr:row>
      <xdr:rowOff>167953</xdr:rowOff>
    </xdr:to>
    <xdr:sp macro="" textlink="">
      <xdr:nvSpPr>
        <xdr:cNvPr id="34" name="Ellipse 33">
          <a:extLst>
            <a:ext uri="{FF2B5EF4-FFF2-40B4-BE49-F238E27FC236}">
              <a16:creationId xmlns:a16="http://schemas.microsoft.com/office/drawing/2014/main" id="{00000000-0008-0000-0C00-000022000000}"/>
            </a:ext>
          </a:extLst>
        </xdr:cNvPr>
        <xdr:cNvSpPr/>
      </xdr:nvSpPr>
      <xdr:spPr>
        <a:xfrm>
          <a:off x="4909439" y="2762617"/>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112941</xdr:colOff>
      <xdr:row>14</xdr:row>
      <xdr:rowOff>32516</xdr:rowOff>
    </xdr:from>
    <xdr:to>
      <xdr:col>5</xdr:col>
      <xdr:colOff>184941</xdr:colOff>
      <xdr:row>14</xdr:row>
      <xdr:rowOff>104852</xdr:rowOff>
    </xdr:to>
    <xdr:sp macro="" textlink="">
      <xdr:nvSpPr>
        <xdr:cNvPr id="35" name="Ellipse 34">
          <a:extLst>
            <a:ext uri="{FF2B5EF4-FFF2-40B4-BE49-F238E27FC236}">
              <a16:creationId xmlns:a16="http://schemas.microsoft.com/office/drawing/2014/main" id="{00000000-0008-0000-0C00-000023000000}"/>
            </a:ext>
          </a:extLst>
        </xdr:cNvPr>
        <xdr:cNvSpPr/>
      </xdr:nvSpPr>
      <xdr:spPr>
        <a:xfrm>
          <a:off x="4870149" y="269951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190332</xdr:colOff>
      <xdr:row>14</xdr:row>
      <xdr:rowOff>32516</xdr:rowOff>
    </xdr:from>
    <xdr:to>
      <xdr:col>5</xdr:col>
      <xdr:colOff>262332</xdr:colOff>
      <xdr:row>14</xdr:row>
      <xdr:rowOff>104852</xdr:rowOff>
    </xdr:to>
    <xdr:sp macro="" textlink="">
      <xdr:nvSpPr>
        <xdr:cNvPr id="36" name="Ellipse 35">
          <a:extLst>
            <a:ext uri="{FF2B5EF4-FFF2-40B4-BE49-F238E27FC236}">
              <a16:creationId xmlns:a16="http://schemas.microsoft.com/office/drawing/2014/main" id="{00000000-0008-0000-0C00-000024000000}"/>
            </a:ext>
          </a:extLst>
        </xdr:cNvPr>
        <xdr:cNvSpPr/>
      </xdr:nvSpPr>
      <xdr:spPr>
        <a:xfrm>
          <a:off x="4947540" y="269951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305820</xdr:colOff>
      <xdr:row>14</xdr:row>
      <xdr:rowOff>96935</xdr:rowOff>
    </xdr:from>
    <xdr:to>
      <xdr:col>5</xdr:col>
      <xdr:colOff>377820</xdr:colOff>
      <xdr:row>14</xdr:row>
      <xdr:rowOff>169271</xdr:rowOff>
    </xdr:to>
    <xdr:sp macro="" textlink="">
      <xdr:nvSpPr>
        <xdr:cNvPr id="47" name="Ellipse 46">
          <a:extLst>
            <a:ext uri="{FF2B5EF4-FFF2-40B4-BE49-F238E27FC236}">
              <a16:creationId xmlns:a16="http://schemas.microsoft.com/office/drawing/2014/main" id="{00000000-0008-0000-0C00-00002F000000}"/>
            </a:ext>
          </a:extLst>
        </xdr:cNvPr>
        <xdr:cNvSpPr/>
      </xdr:nvSpPr>
      <xdr:spPr>
        <a:xfrm>
          <a:off x="5068320" y="276393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226709</xdr:colOff>
      <xdr:row>15</xdr:row>
      <xdr:rowOff>95616</xdr:rowOff>
    </xdr:from>
    <xdr:to>
      <xdr:col>5</xdr:col>
      <xdr:colOff>298709</xdr:colOff>
      <xdr:row>15</xdr:row>
      <xdr:rowOff>167952</xdr:rowOff>
    </xdr:to>
    <xdr:sp macro="" textlink="">
      <xdr:nvSpPr>
        <xdr:cNvPr id="49" name="Ellipse 48">
          <a:extLst>
            <a:ext uri="{FF2B5EF4-FFF2-40B4-BE49-F238E27FC236}">
              <a16:creationId xmlns:a16="http://schemas.microsoft.com/office/drawing/2014/main" id="{00000000-0008-0000-0C00-000031000000}"/>
            </a:ext>
          </a:extLst>
        </xdr:cNvPr>
        <xdr:cNvSpPr/>
      </xdr:nvSpPr>
      <xdr:spPr>
        <a:xfrm>
          <a:off x="4989209" y="295311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71931</xdr:colOff>
      <xdr:row>15</xdr:row>
      <xdr:rowOff>95616</xdr:rowOff>
    </xdr:from>
    <xdr:to>
      <xdr:col>5</xdr:col>
      <xdr:colOff>143931</xdr:colOff>
      <xdr:row>15</xdr:row>
      <xdr:rowOff>167952</xdr:rowOff>
    </xdr:to>
    <xdr:sp macro="" textlink="">
      <xdr:nvSpPr>
        <xdr:cNvPr id="50" name="Ellipse 49">
          <a:extLst>
            <a:ext uri="{FF2B5EF4-FFF2-40B4-BE49-F238E27FC236}">
              <a16:creationId xmlns:a16="http://schemas.microsoft.com/office/drawing/2014/main" id="{00000000-0008-0000-0C00-000032000000}"/>
            </a:ext>
          </a:extLst>
        </xdr:cNvPr>
        <xdr:cNvSpPr/>
      </xdr:nvSpPr>
      <xdr:spPr>
        <a:xfrm>
          <a:off x="4834431" y="295311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149320</xdr:colOff>
      <xdr:row>15</xdr:row>
      <xdr:rowOff>95616</xdr:rowOff>
    </xdr:from>
    <xdr:to>
      <xdr:col>5</xdr:col>
      <xdr:colOff>221320</xdr:colOff>
      <xdr:row>15</xdr:row>
      <xdr:rowOff>167952</xdr:rowOff>
    </xdr:to>
    <xdr:sp macro="" textlink="">
      <xdr:nvSpPr>
        <xdr:cNvPr id="51" name="Ellipse 50">
          <a:extLst>
            <a:ext uri="{FF2B5EF4-FFF2-40B4-BE49-F238E27FC236}">
              <a16:creationId xmlns:a16="http://schemas.microsoft.com/office/drawing/2014/main" id="{00000000-0008-0000-0C00-000033000000}"/>
            </a:ext>
          </a:extLst>
        </xdr:cNvPr>
        <xdr:cNvSpPr/>
      </xdr:nvSpPr>
      <xdr:spPr>
        <a:xfrm>
          <a:off x="4911820" y="295311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110030</xdr:colOff>
      <xdr:row>15</xdr:row>
      <xdr:rowOff>32519</xdr:rowOff>
    </xdr:from>
    <xdr:to>
      <xdr:col>5</xdr:col>
      <xdr:colOff>182030</xdr:colOff>
      <xdr:row>15</xdr:row>
      <xdr:rowOff>104855</xdr:rowOff>
    </xdr:to>
    <xdr:sp macro="" textlink="">
      <xdr:nvSpPr>
        <xdr:cNvPr id="52" name="Ellipse 51">
          <a:extLst>
            <a:ext uri="{FF2B5EF4-FFF2-40B4-BE49-F238E27FC236}">
              <a16:creationId xmlns:a16="http://schemas.microsoft.com/office/drawing/2014/main" id="{00000000-0008-0000-0C00-000034000000}"/>
            </a:ext>
          </a:extLst>
        </xdr:cNvPr>
        <xdr:cNvSpPr/>
      </xdr:nvSpPr>
      <xdr:spPr>
        <a:xfrm>
          <a:off x="4872530" y="2890019"/>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302909</xdr:colOff>
      <xdr:row>15</xdr:row>
      <xdr:rowOff>95616</xdr:rowOff>
    </xdr:from>
    <xdr:to>
      <xdr:col>5</xdr:col>
      <xdr:colOff>374909</xdr:colOff>
      <xdr:row>15</xdr:row>
      <xdr:rowOff>167952</xdr:rowOff>
    </xdr:to>
    <xdr:sp macro="" textlink="">
      <xdr:nvSpPr>
        <xdr:cNvPr id="54" name="Ellipse 53">
          <a:extLst>
            <a:ext uri="{FF2B5EF4-FFF2-40B4-BE49-F238E27FC236}">
              <a16:creationId xmlns:a16="http://schemas.microsoft.com/office/drawing/2014/main" id="{00000000-0008-0000-0C00-000036000000}"/>
            </a:ext>
          </a:extLst>
        </xdr:cNvPr>
        <xdr:cNvSpPr/>
      </xdr:nvSpPr>
      <xdr:spPr>
        <a:xfrm>
          <a:off x="5065409" y="295311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377921</xdr:colOff>
      <xdr:row>15</xdr:row>
      <xdr:rowOff>95616</xdr:rowOff>
    </xdr:from>
    <xdr:to>
      <xdr:col>5</xdr:col>
      <xdr:colOff>449921</xdr:colOff>
      <xdr:row>15</xdr:row>
      <xdr:rowOff>167952</xdr:rowOff>
    </xdr:to>
    <xdr:sp macro="" textlink="">
      <xdr:nvSpPr>
        <xdr:cNvPr id="55" name="Ellipse 54">
          <a:extLst>
            <a:ext uri="{FF2B5EF4-FFF2-40B4-BE49-F238E27FC236}">
              <a16:creationId xmlns:a16="http://schemas.microsoft.com/office/drawing/2014/main" id="{00000000-0008-0000-0C00-000037000000}"/>
            </a:ext>
          </a:extLst>
        </xdr:cNvPr>
        <xdr:cNvSpPr/>
      </xdr:nvSpPr>
      <xdr:spPr>
        <a:xfrm>
          <a:off x="5140421" y="2953116"/>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223837</xdr:colOff>
      <xdr:row>16</xdr:row>
      <xdr:rowOff>63107</xdr:rowOff>
    </xdr:from>
    <xdr:to>
      <xdr:col>5</xdr:col>
      <xdr:colOff>295837</xdr:colOff>
      <xdr:row>16</xdr:row>
      <xdr:rowOff>135443</xdr:rowOff>
    </xdr:to>
    <xdr:sp macro="" textlink="">
      <xdr:nvSpPr>
        <xdr:cNvPr id="56" name="Ellipse 55">
          <a:extLst>
            <a:ext uri="{FF2B5EF4-FFF2-40B4-BE49-F238E27FC236}">
              <a16:creationId xmlns:a16="http://schemas.microsoft.com/office/drawing/2014/main" id="{00000000-0008-0000-0C00-000038000000}"/>
            </a:ext>
          </a:extLst>
        </xdr:cNvPr>
        <xdr:cNvSpPr/>
      </xdr:nvSpPr>
      <xdr:spPr>
        <a:xfrm>
          <a:off x="4986337" y="3111107"/>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69059</xdr:colOff>
      <xdr:row>16</xdr:row>
      <xdr:rowOff>63107</xdr:rowOff>
    </xdr:from>
    <xdr:to>
      <xdr:col>5</xdr:col>
      <xdr:colOff>141059</xdr:colOff>
      <xdr:row>16</xdr:row>
      <xdr:rowOff>135443</xdr:rowOff>
    </xdr:to>
    <xdr:sp macro="" textlink="">
      <xdr:nvSpPr>
        <xdr:cNvPr id="57" name="Ellipse 56">
          <a:extLst>
            <a:ext uri="{FF2B5EF4-FFF2-40B4-BE49-F238E27FC236}">
              <a16:creationId xmlns:a16="http://schemas.microsoft.com/office/drawing/2014/main" id="{00000000-0008-0000-0C00-000039000000}"/>
            </a:ext>
          </a:extLst>
        </xdr:cNvPr>
        <xdr:cNvSpPr/>
      </xdr:nvSpPr>
      <xdr:spPr>
        <a:xfrm>
          <a:off x="4831559" y="3111107"/>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146448</xdr:colOff>
      <xdr:row>16</xdr:row>
      <xdr:rowOff>63107</xdr:rowOff>
    </xdr:from>
    <xdr:to>
      <xdr:col>5</xdr:col>
      <xdr:colOff>218448</xdr:colOff>
      <xdr:row>16</xdr:row>
      <xdr:rowOff>135443</xdr:rowOff>
    </xdr:to>
    <xdr:sp macro="" textlink="">
      <xdr:nvSpPr>
        <xdr:cNvPr id="58" name="Ellipse 57">
          <a:extLst>
            <a:ext uri="{FF2B5EF4-FFF2-40B4-BE49-F238E27FC236}">
              <a16:creationId xmlns:a16="http://schemas.microsoft.com/office/drawing/2014/main" id="{00000000-0008-0000-0C00-00003A000000}"/>
            </a:ext>
          </a:extLst>
        </xdr:cNvPr>
        <xdr:cNvSpPr/>
      </xdr:nvSpPr>
      <xdr:spPr>
        <a:xfrm>
          <a:off x="4908948" y="3111107"/>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298848</xdr:colOff>
      <xdr:row>16</xdr:row>
      <xdr:rowOff>63107</xdr:rowOff>
    </xdr:from>
    <xdr:to>
      <xdr:col>5</xdr:col>
      <xdr:colOff>370848</xdr:colOff>
      <xdr:row>16</xdr:row>
      <xdr:rowOff>135443</xdr:rowOff>
    </xdr:to>
    <xdr:sp macro="" textlink="">
      <xdr:nvSpPr>
        <xdr:cNvPr id="59" name="Ellipse 58">
          <a:extLst>
            <a:ext uri="{FF2B5EF4-FFF2-40B4-BE49-F238E27FC236}">
              <a16:creationId xmlns:a16="http://schemas.microsoft.com/office/drawing/2014/main" id="{00000000-0008-0000-0C00-00003B000000}"/>
            </a:ext>
          </a:extLst>
        </xdr:cNvPr>
        <xdr:cNvSpPr/>
      </xdr:nvSpPr>
      <xdr:spPr>
        <a:xfrm>
          <a:off x="5061348" y="3111107"/>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378618</xdr:colOff>
      <xdr:row>16</xdr:row>
      <xdr:rowOff>63107</xdr:rowOff>
    </xdr:from>
    <xdr:to>
      <xdr:col>5</xdr:col>
      <xdr:colOff>450618</xdr:colOff>
      <xdr:row>16</xdr:row>
      <xdr:rowOff>135443</xdr:rowOff>
    </xdr:to>
    <xdr:sp macro="" textlink="">
      <xdr:nvSpPr>
        <xdr:cNvPr id="60" name="Ellipse 59">
          <a:extLst>
            <a:ext uri="{FF2B5EF4-FFF2-40B4-BE49-F238E27FC236}">
              <a16:creationId xmlns:a16="http://schemas.microsoft.com/office/drawing/2014/main" id="{00000000-0008-0000-0C00-00003C000000}"/>
            </a:ext>
          </a:extLst>
        </xdr:cNvPr>
        <xdr:cNvSpPr/>
      </xdr:nvSpPr>
      <xdr:spPr>
        <a:xfrm>
          <a:off x="5141118" y="3111107"/>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454816</xdr:colOff>
      <xdr:row>16</xdr:row>
      <xdr:rowOff>63107</xdr:rowOff>
    </xdr:from>
    <xdr:to>
      <xdr:col>5</xdr:col>
      <xdr:colOff>526816</xdr:colOff>
      <xdr:row>16</xdr:row>
      <xdr:rowOff>135443</xdr:rowOff>
    </xdr:to>
    <xdr:sp macro="" textlink="">
      <xdr:nvSpPr>
        <xdr:cNvPr id="61" name="Ellipse 60">
          <a:extLst>
            <a:ext uri="{FF2B5EF4-FFF2-40B4-BE49-F238E27FC236}">
              <a16:creationId xmlns:a16="http://schemas.microsoft.com/office/drawing/2014/main" id="{00000000-0008-0000-0C00-00003D000000}"/>
            </a:ext>
          </a:extLst>
        </xdr:cNvPr>
        <xdr:cNvSpPr/>
      </xdr:nvSpPr>
      <xdr:spPr>
        <a:xfrm>
          <a:off x="5217316" y="3111107"/>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221456</xdr:colOff>
      <xdr:row>20</xdr:row>
      <xdr:rowOff>65495</xdr:rowOff>
    </xdr:from>
    <xdr:to>
      <xdr:col>5</xdr:col>
      <xdr:colOff>293456</xdr:colOff>
      <xdr:row>20</xdr:row>
      <xdr:rowOff>137831</xdr:rowOff>
    </xdr:to>
    <xdr:sp macro="" textlink="">
      <xdr:nvSpPr>
        <xdr:cNvPr id="62" name="Ellipse 61">
          <a:extLst>
            <a:ext uri="{FF2B5EF4-FFF2-40B4-BE49-F238E27FC236}">
              <a16:creationId xmlns:a16="http://schemas.microsoft.com/office/drawing/2014/main" id="{00000000-0008-0000-0C00-00003E000000}"/>
            </a:ext>
          </a:extLst>
        </xdr:cNvPr>
        <xdr:cNvSpPr/>
      </xdr:nvSpPr>
      <xdr:spPr>
        <a:xfrm>
          <a:off x="4983956" y="387549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66678</xdr:colOff>
      <xdr:row>20</xdr:row>
      <xdr:rowOff>65495</xdr:rowOff>
    </xdr:from>
    <xdr:to>
      <xdr:col>5</xdr:col>
      <xdr:colOff>138678</xdr:colOff>
      <xdr:row>20</xdr:row>
      <xdr:rowOff>137831</xdr:rowOff>
    </xdr:to>
    <xdr:sp macro="" textlink="">
      <xdr:nvSpPr>
        <xdr:cNvPr id="63" name="Ellipse 62">
          <a:extLst>
            <a:ext uri="{FF2B5EF4-FFF2-40B4-BE49-F238E27FC236}">
              <a16:creationId xmlns:a16="http://schemas.microsoft.com/office/drawing/2014/main" id="{00000000-0008-0000-0C00-00003F000000}"/>
            </a:ext>
          </a:extLst>
        </xdr:cNvPr>
        <xdr:cNvSpPr/>
      </xdr:nvSpPr>
      <xdr:spPr>
        <a:xfrm>
          <a:off x="4829178" y="387549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144067</xdr:colOff>
      <xdr:row>20</xdr:row>
      <xdr:rowOff>65495</xdr:rowOff>
    </xdr:from>
    <xdr:to>
      <xdr:col>5</xdr:col>
      <xdr:colOff>216067</xdr:colOff>
      <xdr:row>20</xdr:row>
      <xdr:rowOff>137831</xdr:rowOff>
    </xdr:to>
    <xdr:sp macro="" textlink="">
      <xdr:nvSpPr>
        <xdr:cNvPr id="64" name="Ellipse 63">
          <a:extLst>
            <a:ext uri="{FF2B5EF4-FFF2-40B4-BE49-F238E27FC236}">
              <a16:creationId xmlns:a16="http://schemas.microsoft.com/office/drawing/2014/main" id="{00000000-0008-0000-0C00-000040000000}"/>
            </a:ext>
          </a:extLst>
        </xdr:cNvPr>
        <xdr:cNvSpPr/>
      </xdr:nvSpPr>
      <xdr:spPr>
        <a:xfrm>
          <a:off x="4906567" y="387549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296467</xdr:colOff>
      <xdr:row>20</xdr:row>
      <xdr:rowOff>65495</xdr:rowOff>
    </xdr:from>
    <xdr:to>
      <xdr:col>5</xdr:col>
      <xdr:colOff>368467</xdr:colOff>
      <xdr:row>20</xdr:row>
      <xdr:rowOff>137831</xdr:rowOff>
    </xdr:to>
    <xdr:sp macro="" textlink="">
      <xdr:nvSpPr>
        <xdr:cNvPr id="65" name="Ellipse 64">
          <a:extLst>
            <a:ext uri="{FF2B5EF4-FFF2-40B4-BE49-F238E27FC236}">
              <a16:creationId xmlns:a16="http://schemas.microsoft.com/office/drawing/2014/main" id="{00000000-0008-0000-0C00-000041000000}"/>
            </a:ext>
          </a:extLst>
        </xdr:cNvPr>
        <xdr:cNvSpPr/>
      </xdr:nvSpPr>
      <xdr:spPr>
        <a:xfrm>
          <a:off x="5058967" y="387549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376237</xdr:colOff>
      <xdr:row>20</xdr:row>
      <xdr:rowOff>65495</xdr:rowOff>
    </xdr:from>
    <xdr:to>
      <xdr:col>5</xdr:col>
      <xdr:colOff>448237</xdr:colOff>
      <xdr:row>20</xdr:row>
      <xdr:rowOff>137831</xdr:rowOff>
    </xdr:to>
    <xdr:sp macro="" textlink="">
      <xdr:nvSpPr>
        <xdr:cNvPr id="66" name="Ellipse 65">
          <a:extLst>
            <a:ext uri="{FF2B5EF4-FFF2-40B4-BE49-F238E27FC236}">
              <a16:creationId xmlns:a16="http://schemas.microsoft.com/office/drawing/2014/main" id="{00000000-0008-0000-0C00-000042000000}"/>
            </a:ext>
          </a:extLst>
        </xdr:cNvPr>
        <xdr:cNvSpPr/>
      </xdr:nvSpPr>
      <xdr:spPr>
        <a:xfrm>
          <a:off x="5138737" y="387549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452435</xdr:colOff>
      <xdr:row>20</xdr:row>
      <xdr:rowOff>65495</xdr:rowOff>
    </xdr:from>
    <xdr:to>
      <xdr:col>5</xdr:col>
      <xdr:colOff>524435</xdr:colOff>
      <xdr:row>20</xdr:row>
      <xdr:rowOff>137831</xdr:rowOff>
    </xdr:to>
    <xdr:sp macro="" textlink="">
      <xdr:nvSpPr>
        <xdr:cNvPr id="67" name="Ellipse 66">
          <a:extLst>
            <a:ext uri="{FF2B5EF4-FFF2-40B4-BE49-F238E27FC236}">
              <a16:creationId xmlns:a16="http://schemas.microsoft.com/office/drawing/2014/main" id="{00000000-0008-0000-0C00-000043000000}"/>
            </a:ext>
          </a:extLst>
        </xdr:cNvPr>
        <xdr:cNvSpPr/>
      </xdr:nvSpPr>
      <xdr:spPr>
        <a:xfrm>
          <a:off x="5214935" y="387549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221453</xdr:colOff>
      <xdr:row>24</xdr:row>
      <xdr:rowOff>63119</xdr:rowOff>
    </xdr:from>
    <xdr:to>
      <xdr:col>5</xdr:col>
      <xdr:colOff>293453</xdr:colOff>
      <xdr:row>24</xdr:row>
      <xdr:rowOff>135455</xdr:rowOff>
    </xdr:to>
    <xdr:sp macro="" textlink="">
      <xdr:nvSpPr>
        <xdr:cNvPr id="68" name="Ellipse 67">
          <a:extLst>
            <a:ext uri="{FF2B5EF4-FFF2-40B4-BE49-F238E27FC236}">
              <a16:creationId xmlns:a16="http://schemas.microsoft.com/office/drawing/2014/main" id="{00000000-0008-0000-0C00-000044000000}"/>
            </a:ext>
          </a:extLst>
        </xdr:cNvPr>
        <xdr:cNvSpPr/>
      </xdr:nvSpPr>
      <xdr:spPr>
        <a:xfrm>
          <a:off x="4983953" y="4635119"/>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66675</xdr:colOff>
      <xdr:row>24</xdr:row>
      <xdr:rowOff>63119</xdr:rowOff>
    </xdr:from>
    <xdr:to>
      <xdr:col>5</xdr:col>
      <xdr:colOff>138675</xdr:colOff>
      <xdr:row>24</xdr:row>
      <xdr:rowOff>135455</xdr:rowOff>
    </xdr:to>
    <xdr:sp macro="" textlink="">
      <xdr:nvSpPr>
        <xdr:cNvPr id="69" name="Ellipse 68">
          <a:extLst>
            <a:ext uri="{FF2B5EF4-FFF2-40B4-BE49-F238E27FC236}">
              <a16:creationId xmlns:a16="http://schemas.microsoft.com/office/drawing/2014/main" id="{00000000-0008-0000-0C00-000045000000}"/>
            </a:ext>
          </a:extLst>
        </xdr:cNvPr>
        <xdr:cNvSpPr/>
      </xdr:nvSpPr>
      <xdr:spPr>
        <a:xfrm>
          <a:off x="4829175" y="4635119"/>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144064</xdr:colOff>
      <xdr:row>24</xdr:row>
      <xdr:rowOff>63119</xdr:rowOff>
    </xdr:from>
    <xdr:to>
      <xdr:col>5</xdr:col>
      <xdr:colOff>216064</xdr:colOff>
      <xdr:row>24</xdr:row>
      <xdr:rowOff>135455</xdr:rowOff>
    </xdr:to>
    <xdr:sp macro="" textlink="">
      <xdr:nvSpPr>
        <xdr:cNvPr id="70" name="Ellipse 69">
          <a:extLst>
            <a:ext uri="{FF2B5EF4-FFF2-40B4-BE49-F238E27FC236}">
              <a16:creationId xmlns:a16="http://schemas.microsoft.com/office/drawing/2014/main" id="{00000000-0008-0000-0C00-000046000000}"/>
            </a:ext>
          </a:extLst>
        </xdr:cNvPr>
        <xdr:cNvSpPr/>
      </xdr:nvSpPr>
      <xdr:spPr>
        <a:xfrm>
          <a:off x="4906564" y="4635119"/>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296464</xdr:colOff>
      <xdr:row>24</xdr:row>
      <xdr:rowOff>63119</xdr:rowOff>
    </xdr:from>
    <xdr:to>
      <xdr:col>5</xdr:col>
      <xdr:colOff>368464</xdr:colOff>
      <xdr:row>24</xdr:row>
      <xdr:rowOff>135455</xdr:rowOff>
    </xdr:to>
    <xdr:sp macro="" textlink="">
      <xdr:nvSpPr>
        <xdr:cNvPr id="71" name="Ellipse 70">
          <a:extLst>
            <a:ext uri="{FF2B5EF4-FFF2-40B4-BE49-F238E27FC236}">
              <a16:creationId xmlns:a16="http://schemas.microsoft.com/office/drawing/2014/main" id="{00000000-0008-0000-0C00-000047000000}"/>
            </a:ext>
          </a:extLst>
        </xdr:cNvPr>
        <xdr:cNvSpPr/>
      </xdr:nvSpPr>
      <xdr:spPr>
        <a:xfrm>
          <a:off x="5058964" y="4635119"/>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376234</xdr:colOff>
      <xdr:row>24</xdr:row>
      <xdr:rowOff>63119</xdr:rowOff>
    </xdr:from>
    <xdr:to>
      <xdr:col>5</xdr:col>
      <xdr:colOff>448234</xdr:colOff>
      <xdr:row>24</xdr:row>
      <xdr:rowOff>135455</xdr:rowOff>
    </xdr:to>
    <xdr:sp macro="" textlink="">
      <xdr:nvSpPr>
        <xdr:cNvPr id="72" name="Ellipse 71">
          <a:extLst>
            <a:ext uri="{FF2B5EF4-FFF2-40B4-BE49-F238E27FC236}">
              <a16:creationId xmlns:a16="http://schemas.microsoft.com/office/drawing/2014/main" id="{00000000-0008-0000-0C00-000048000000}"/>
            </a:ext>
          </a:extLst>
        </xdr:cNvPr>
        <xdr:cNvSpPr/>
      </xdr:nvSpPr>
      <xdr:spPr>
        <a:xfrm>
          <a:off x="5138734" y="4635119"/>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452432</xdr:colOff>
      <xdr:row>24</xdr:row>
      <xdr:rowOff>63119</xdr:rowOff>
    </xdr:from>
    <xdr:to>
      <xdr:col>5</xdr:col>
      <xdr:colOff>524432</xdr:colOff>
      <xdr:row>24</xdr:row>
      <xdr:rowOff>135455</xdr:rowOff>
    </xdr:to>
    <xdr:sp macro="" textlink="">
      <xdr:nvSpPr>
        <xdr:cNvPr id="73" name="Ellipse 72">
          <a:extLst>
            <a:ext uri="{FF2B5EF4-FFF2-40B4-BE49-F238E27FC236}">
              <a16:creationId xmlns:a16="http://schemas.microsoft.com/office/drawing/2014/main" id="{00000000-0008-0000-0C00-000049000000}"/>
            </a:ext>
          </a:extLst>
        </xdr:cNvPr>
        <xdr:cNvSpPr/>
      </xdr:nvSpPr>
      <xdr:spPr>
        <a:xfrm>
          <a:off x="5214932" y="4635119"/>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523867</xdr:colOff>
      <xdr:row>24</xdr:row>
      <xdr:rowOff>63119</xdr:rowOff>
    </xdr:from>
    <xdr:to>
      <xdr:col>5</xdr:col>
      <xdr:colOff>595867</xdr:colOff>
      <xdr:row>24</xdr:row>
      <xdr:rowOff>135455</xdr:rowOff>
    </xdr:to>
    <xdr:sp macro="" textlink="">
      <xdr:nvSpPr>
        <xdr:cNvPr id="74" name="Ellipse 73">
          <a:extLst>
            <a:ext uri="{FF2B5EF4-FFF2-40B4-BE49-F238E27FC236}">
              <a16:creationId xmlns:a16="http://schemas.microsoft.com/office/drawing/2014/main" id="{00000000-0008-0000-0C00-00004A000000}"/>
            </a:ext>
          </a:extLst>
        </xdr:cNvPr>
        <xdr:cNvSpPr/>
      </xdr:nvSpPr>
      <xdr:spPr>
        <a:xfrm>
          <a:off x="5286367" y="4635119"/>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600068</xdr:colOff>
      <xdr:row>24</xdr:row>
      <xdr:rowOff>63119</xdr:rowOff>
    </xdr:from>
    <xdr:to>
      <xdr:col>5</xdr:col>
      <xdr:colOff>672068</xdr:colOff>
      <xdr:row>24</xdr:row>
      <xdr:rowOff>135455</xdr:rowOff>
    </xdr:to>
    <xdr:sp macro="" textlink="">
      <xdr:nvSpPr>
        <xdr:cNvPr id="75" name="Ellipse 74">
          <a:extLst>
            <a:ext uri="{FF2B5EF4-FFF2-40B4-BE49-F238E27FC236}">
              <a16:creationId xmlns:a16="http://schemas.microsoft.com/office/drawing/2014/main" id="{00000000-0008-0000-0C00-00004B000000}"/>
            </a:ext>
          </a:extLst>
        </xdr:cNvPr>
        <xdr:cNvSpPr/>
      </xdr:nvSpPr>
      <xdr:spPr>
        <a:xfrm>
          <a:off x="5362568" y="4635119"/>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528638</xdr:colOff>
      <xdr:row>20</xdr:row>
      <xdr:rowOff>65495</xdr:rowOff>
    </xdr:from>
    <xdr:to>
      <xdr:col>5</xdr:col>
      <xdr:colOff>600638</xdr:colOff>
      <xdr:row>20</xdr:row>
      <xdr:rowOff>137831</xdr:rowOff>
    </xdr:to>
    <xdr:sp macro="" textlink="">
      <xdr:nvSpPr>
        <xdr:cNvPr id="76" name="Ellipse 75">
          <a:extLst>
            <a:ext uri="{FF2B5EF4-FFF2-40B4-BE49-F238E27FC236}">
              <a16:creationId xmlns:a16="http://schemas.microsoft.com/office/drawing/2014/main" id="{00000000-0008-0000-0C00-00004C000000}"/>
            </a:ext>
          </a:extLst>
        </xdr:cNvPr>
        <xdr:cNvSpPr/>
      </xdr:nvSpPr>
      <xdr:spPr>
        <a:xfrm>
          <a:off x="5291138" y="387549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226218</xdr:colOff>
      <xdr:row>17</xdr:row>
      <xdr:rowOff>90487</xdr:rowOff>
    </xdr:from>
    <xdr:to>
      <xdr:col>5</xdr:col>
      <xdr:colOff>298218</xdr:colOff>
      <xdr:row>17</xdr:row>
      <xdr:rowOff>162823</xdr:rowOff>
    </xdr:to>
    <xdr:sp macro="" textlink="">
      <xdr:nvSpPr>
        <xdr:cNvPr id="77" name="Ellipse 76">
          <a:extLst>
            <a:ext uri="{FF2B5EF4-FFF2-40B4-BE49-F238E27FC236}">
              <a16:creationId xmlns:a16="http://schemas.microsoft.com/office/drawing/2014/main" id="{00000000-0008-0000-0C00-00004D000000}"/>
            </a:ext>
          </a:extLst>
        </xdr:cNvPr>
        <xdr:cNvSpPr/>
      </xdr:nvSpPr>
      <xdr:spPr>
        <a:xfrm>
          <a:off x="4988718" y="3328987"/>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71440</xdr:colOff>
      <xdr:row>17</xdr:row>
      <xdr:rowOff>90491</xdr:rowOff>
    </xdr:from>
    <xdr:to>
      <xdr:col>5</xdr:col>
      <xdr:colOff>143440</xdr:colOff>
      <xdr:row>17</xdr:row>
      <xdr:rowOff>162827</xdr:rowOff>
    </xdr:to>
    <xdr:sp macro="" textlink="">
      <xdr:nvSpPr>
        <xdr:cNvPr id="78" name="Ellipse 77">
          <a:extLst>
            <a:ext uri="{FF2B5EF4-FFF2-40B4-BE49-F238E27FC236}">
              <a16:creationId xmlns:a16="http://schemas.microsoft.com/office/drawing/2014/main" id="{00000000-0008-0000-0C00-00004E000000}"/>
            </a:ext>
          </a:extLst>
        </xdr:cNvPr>
        <xdr:cNvSpPr/>
      </xdr:nvSpPr>
      <xdr:spPr>
        <a:xfrm>
          <a:off x="4833940" y="332899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148829</xdr:colOff>
      <xdr:row>17</xdr:row>
      <xdr:rowOff>90491</xdr:rowOff>
    </xdr:from>
    <xdr:to>
      <xdr:col>5</xdr:col>
      <xdr:colOff>220829</xdr:colOff>
      <xdr:row>17</xdr:row>
      <xdr:rowOff>162827</xdr:rowOff>
    </xdr:to>
    <xdr:sp macro="" textlink="">
      <xdr:nvSpPr>
        <xdr:cNvPr id="79" name="Ellipse 78">
          <a:extLst>
            <a:ext uri="{FF2B5EF4-FFF2-40B4-BE49-F238E27FC236}">
              <a16:creationId xmlns:a16="http://schemas.microsoft.com/office/drawing/2014/main" id="{00000000-0008-0000-0C00-00004F000000}"/>
            </a:ext>
          </a:extLst>
        </xdr:cNvPr>
        <xdr:cNvSpPr/>
      </xdr:nvSpPr>
      <xdr:spPr>
        <a:xfrm>
          <a:off x="4911329" y="332899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109539</xdr:colOff>
      <xdr:row>17</xdr:row>
      <xdr:rowOff>27390</xdr:rowOff>
    </xdr:from>
    <xdr:to>
      <xdr:col>5</xdr:col>
      <xdr:colOff>181539</xdr:colOff>
      <xdr:row>17</xdr:row>
      <xdr:rowOff>99726</xdr:rowOff>
    </xdr:to>
    <xdr:sp macro="" textlink="">
      <xdr:nvSpPr>
        <xdr:cNvPr id="80" name="Ellipse 79">
          <a:extLst>
            <a:ext uri="{FF2B5EF4-FFF2-40B4-BE49-F238E27FC236}">
              <a16:creationId xmlns:a16="http://schemas.microsoft.com/office/drawing/2014/main" id="{00000000-0008-0000-0C00-000050000000}"/>
            </a:ext>
          </a:extLst>
        </xdr:cNvPr>
        <xdr:cNvSpPr/>
      </xdr:nvSpPr>
      <xdr:spPr>
        <a:xfrm>
          <a:off x="4872039" y="326589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186930</xdr:colOff>
      <xdr:row>17</xdr:row>
      <xdr:rowOff>27390</xdr:rowOff>
    </xdr:from>
    <xdr:to>
      <xdr:col>5</xdr:col>
      <xdr:colOff>258930</xdr:colOff>
      <xdr:row>17</xdr:row>
      <xdr:rowOff>99726</xdr:rowOff>
    </xdr:to>
    <xdr:sp macro="" textlink="">
      <xdr:nvSpPr>
        <xdr:cNvPr id="81" name="Ellipse 80">
          <a:extLst>
            <a:ext uri="{FF2B5EF4-FFF2-40B4-BE49-F238E27FC236}">
              <a16:creationId xmlns:a16="http://schemas.microsoft.com/office/drawing/2014/main" id="{00000000-0008-0000-0C00-000051000000}"/>
            </a:ext>
          </a:extLst>
        </xdr:cNvPr>
        <xdr:cNvSpPr/>
      </xdr:nvSpPr>
      <xdr:spPr>
        <a:xfrm>
          <a:off x="4949430" y="326589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302418</xdr:colOff>
      <xdr:row>17</xdr:row>
      <xdr:rowOff>91809</xdr:rowOff>
    </xdr:from>
    <xdr:to>
      <xdr:col>5</xdr:col>
      <xdr:colOff>374418</xdr:colOff>
      <xdr:row>17</xdr:row>
      <xdr:rowOff>164145</xdr:rowOff>
    </xdr:to>
    <xdr:sp macro="" textlink="">
      <xdr:nvSpPr>
        <xdr:cNvPr id="82" name="Ellipse 81">
          <a:extLst>
            <a:ext uri="{FF2B5EF4-FFF2-40B4-BE49-F238E27FC236}">
              <a16:creationId xmlns:a16="http://schemas.microsoft.com/office/drawing/2014/main" id="{00000000-0008-0000-0C00-000052000000}"/>
            </a:ext>
          </a:extLst>
        </xdr:cNvPr>
        <xdr:cNvSpPr/>
      </xdr:nvSpPr>
      <xdr:spPr>
        <a:xfrm>
          <a:off x="5064918" y="3330309"/>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230977</xdr:colOff>
      <xdr:row>18</xdr:row>
      <xdr:rowOff>91685</xdr:rowOff>
    </xdr:from>
    <xdr:to>
      <xdr:col>5</xdr:col>
      <xdr:colOff>302977</xdr:colOff>
      <xdr:row>18</xdr:row>
      <xdr:rowOff>164021</xdr:rowOff>
    </xdr:to>
    <xdr:sp macro="" textlink="">
      <xdr:nvSpPr>
        <xdr:cNvPr id="83" name="Ellipse 82">
          <a:extLst>
            <a:ext uri="{FF2B5EF4-FFF2-40B4-BE49-F238E27FC236}">
              <a16:creationId xmlns:a16="http://schemas.microsoft.com/office/drawing/2014/main" id="{00000000-0008-0000-0C00-000053000000}"/>
            </a:ext>
          </a:extLst>
        </xdr:cNvPr>
        <xdr:cNvSpPr/>
      </xdr:nvSpPr>
      <xdr:spPr>
        <a:xfrm>
          <a:off x="4993477" y="352068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76199</xdr:colOff>
      <xdr:row>18</xdr:row>
      <xdr:rowOff>91685</xdr:rowOff>
    </xdr:from>
    <xdr:to>
      <xdr:col>5</xdr:col>
      <xdr:colOff>148199</xdr:colOff>
      <xdr:row>18</xdr:row>
      <xdr:rowOff>164021</xdr:rowOff>
    </xdr:to>
    <xdr:sp macro="" textlink="">
      <xdr:nvSpPr>
        <xdr:cNvPr id="84" name="Ellipse 83">
          <a:extLst>
            <a:ext uri="{FF2B5EF4-FFF2-40B4-BE49-F238E27FC236}">
              <a16:creationId xmlns:a16="http://schemas.microsoft.com/office/drawing/2014/main" id="{00000000-0008-0000-0C00-000054000000}"/>
            </a:ext>
          </a:extLst>
        </xdr:cNvPr>
        <xdr:cNvSpPr/>
      </xdr:nvSpPr>
      <xdr:spPr>
        <a:xfrm>
          <a:off x="4838699" y="352068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153588</xdr:colOff>
      <xdr:row>18</xdr:row>
      <xdr:rowOff>91685</xdr:rowOff>
    </xdr:from>
    <xdr:to>
      <xdr:col>5</xdr:col>
      <xdr:colOff>225588</xdr:colOff>
      <xdr:row>18</xdr:row>
      <xdr:rowOff>164021</xdr:rowOff>
    </xdr:to>
    <xdr:sp macro="" textlink="">
      <xdr:nvSpPr>
        <xdr:cNvPr id="85" name="Ellipse 84">
          <a:extLst>
            <a:ext uri="{FF2B5EF4-FFF2-40B4-BE49-F238E27FC236}">
              <a16:creationId xmlns:a16="http://schemas.microsoft.com/office/drawing/2014/main" id="{00000000-0008-0000-0C00-000055000000}"/>
            </a:ext>
          </a:extLst>
        </xdr:cNvPr>
        <xdr:cNvSpPr/>
      </xdr:nvSpPr>
      <xdr:spPr>
        <a:xfrm>
          <a:off x="4916088" y="352068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114298</xdr:colOff>
      <xdr:row>18</xdr:row>
      <xdr:rowOff>28588</xdr:rowOff>
    </xdr:from>
    <xdr:to>
      <xdr:col>5</xdr:col>
      <xdr:colOff>186298</xdr:colOff>
      <xdr:row>18</xdr:row>
      <xdr:rowOff>100924</xdr:rowOff>
    </xdr:to>
    <xdr:sp macro="" textlink="">
      <xdr:nvSpPr>
        <xdr:cNvPr id="86" name="Ellipse 85">
          <a:extLst>
            <a:ext uri="{FF2B5EF4-FFF2-40B4-BE49-F238E27FC236}">
              <a16:creationId xmlns:a16="http://schemas.microsoft.com/office/drawing/2014/main" id="{00000000-0008-0000-0C00-000056000000}"/>
            </a:ext>
          </a:extLst>
        </xdr:cNvPr>
        <xdr:cNvSpPr/>
      </xdr:nvSpPr>
      <xdr:spPr>
        <a:xfrm>
          <a:off x="4876798" y="345758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191689</xdr:colOff>
      <xdr:row>18</xdr:row>
      <xdr:rowOff>28588</xdr:rowOff>
    </xdr:from>
    <xdr:to>
      <xdr:col>5</xdr:col>
      <xdr:colOff>263689</xdr:colOff>
      <xdr:row>18</xdr:row>
      <xdr:rowOff>100924</xdr:rowOff>
    </xdr:to>
    <xdr:sp macro="" textlink="">
      <xdr:nvSpPr>
        <xdr:cNvPr id="87" name="Ellipse 86">
          <a:extLst>
            <a:ext uri="{FF2B5EF4-FFF2-40B4-BE49-F238E27FC236}">
              <a16:creationId xmlns:a16="http://schemas.microsoft.com/office/drawing/2014/main" id="{00000000-0008-0000-0C00-000057000000}"/>
            </a:ext>
          </a:extLst>
        </xdr:cNvPr>
        <xdr:cNvSpPr/>
      </xdr:nvSpPr>
      <xdr:spPr>
        <a:xfrm>
          <a:off x="4954189" y="3457588"/>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307177</xdr:colOff>
      <xdr:row>18</xdr:row>
      <xdr:rowOff>91685</xdr:rowOff>
    </xdr:from>
    <xdr:to>
      <xdr:col>5</xdr:col>
      <xdr:colOff>379177</xdr:colOff>
      <xdr:row>18</xdr:row>
      <xdr:rowOff>164021</xdr:rowOff>
    </xdr:to>
    <xdr:sp macro="" textlink="">
      <xdr:nvSpPr>
        <xdr:cNvPr id="88" name="Ellipse 87">
          <a:extLst>
            <a:ext uri="{FF2B5EF4-FFF2-40B4-BE49-F238E27FC236}">
              <a16:creationId xmlns:a16="http://schemas.microsoft.com/office/drawing/2014/main" id="{00000000-0008-0000-0C00-000058000000}"/>
            </a:ext>
          </a:extLst>
        </xdr:cNvPr>
        <xdr:cNvSpPr/>
      </xdr:nvSpPr>
      <xdr:spPr>
        <a:xfrm>
          <a:off x="5069677" y="352068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264318</xdr:colOff>
      <xdr:row>17</xdr:row>
      <xdr:rowOff>27515</xdr:rowOff>
    </xdr:from>
    <xdr:to>
      <xdr:col>5</xdr:col>
      <xdr:colOff>336318</xdr:colOff>
      <xdr:row>17</xdr:row>
      <xdr:rowOff>99851</xdr:rowOff>
    </xdr:to>
    <xdr:sp macro="" textlink="">
      <xdr:nvSpPr>
        <xdr:cNvPr id="89" name="Ellipse 88">
          <a:extLst>
            <a:ext uri="{FF2B5EF4-FFF2-40B4-BE49-F238E27FC236}">
              <a16:creationId xmlns:a16="http://schemas.microsoft.com/office/drawing/2014/main" id="{00000000-0008-0000-0C00-000059000000}"/>
            </a:ext>
          </a:extLst>
        </xdr:cNvPr>
        <xdr:cNvSpPr/>
      </xdr:nvSpPr>
      <xdr:spPr>
        <a:xfrm>
          <a:off x="5026818" y="326601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382192</xdr:colOff>
      <xdr:row>18</xdr:row>
      <xdr:rowOff>91685</xdr:rowOff>
    </xdr:from>
    <xdr:to>
      <xdr:col>5</xdr:col>
      <xdr:colOff>454192</xdr:colOff>
      <xdr:row>18</xdr:row>
      <xdr:rowOff>164021</xdr:rowOff>
    </xdr:to>
    <xdr:sp macro="" textlink="">
      <xdr:nvSpPr>
        <xdr:cNvPr id="90" name="Ellipse 89">
          <a:extLst>
            <a:ext uri="{FF2B5EF4-FFF2-40B4-BE49-F238E27FC236}">
              <a16:creationId xmlns:a16="http://schemas.microsoft.com/office/drawing/2014/main" id="{00000000-0008-0000-0C00-00005A000000}"/>
            </a:ext>
          </a:extLst>
        </xdr:cNvPr>
        <xdr:cNvSpPr/>
      </xdr:nvSpPr>
      <xdr:spPr>
        <a:xfrm>
          <a:off x="5144692" y="3520685"/>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223835</xdr:colOff>
      <xdr:row>19</xdr:row>
      <xdr:rowOff>84543</xdr:rowOff>
    </xdr:from>
    <xdr:to>
      <xdr:col>5</xdr:col>
      <xdr:colOff>295835</xdr:colOff>
      <xdr:row>19</xdr:row>
      <xdr:rowOff>156879</xdr:rowOff>
    </xdr:to>
    <xdr:sp macro="" textlink="">
      <xdr:nvSpPr>
        <xdr:cNvPr id="91" name="Ellipse 90">
          <a:extLst>
            <a:ext uri="{FF2B5EF4-FFF2-40B4-BE49-F238E27FC236}">
              <a16:creationId xmlns:a16="http://schemas.microsoft.com/office/drawing/2014/main" id="{00000000-0008-0000-0C00-00005B000000}"/>
            </a:ext>
          </a:extLst>
        </xdr:cNvPr>
        <xdr:cNvSpPr/>
      </xdr:nvSpPr>
      <xdr:spPr>
        <a:xfrm>
          <a:off x="4986335" y="3704043"/>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69057</xdr:colOff>
      <xdr:row>19</xdr:row>
      <xdr:rowOff>84543</xdr:rowOff>
    </xdr:from>
    <xdr:to>
      <xdr:col>5</xdr:col>
      <xdr:colOff>141057</xdr:colOff>
      <xdr:row>19</xdr:row>
      <xdr:rowOff>156879</xdr:rowOff>
    </xdr:to>
    <xdr:sp macro="" textlink="">
      <xdr:nvSpPr>
        <xdr:cNvPr id="92" name="Ellipse 91">
          <a:extLst>
            <a:ext uri="{FF2B5EF4-FFF2-40B4-BE49-F238E27FC236}">
              <a16:creationId xmlns:a16="http://schemas.microsoft.com/office/drawing/2014/main" id="{00000000-0008-0000-0C00-00005C000000}"/>
            </a:ext>
          </a:extLst>
        </xdr:cNvPr>
        <xdr:cNvSpPr/>
      </xdr:nvSpPr>
      <xdr:spPr>
        <a:xfrm>
          <a:off x="4831557" y="3704043"/>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146446</xdr:colOff>
      <xdr:row>19</xdr:row>
      <xdr:rowOff>84543</xdr:rowOff>
    </xdr:from>
    <xdr:to>
      <xdr:col>5</xdr:col>
      <xdr:colOff>218446</xdr:colOff>
      <xdr:row>19</xdr:row>
      <xdr:rowOff>156879</xdr:rowOff>
    </xdr:to>
    <xdr:sp macro="" textlink="">
      <xdr:nvSpPr>
        <xdr:cNvPr id="93" name="Ellipse 92">
          <a:extLst>
            <a:ext uri="{FF2B5EF4-FFF2-40B4-BE49-F238E27FC236}">
              <a16:creationId xmlns:a16="http://schemas.microsoft.com/office/drawing/2014/main" id="{00000000-0008-0000-0C00-00005D000000}"/>
            </a:ext>
          </a:extLst>
        </xdr:cNvPr>
        <xdr:cNvSpPr/>
      </xdr:nvSpPr>
      <xdr:spPr>
        <a:xfrm>
          <a:off x="4908946" y="3704043"/>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298846</xdr:colOff>
      <xdr:row>19</xdr:row>
      <xdr:rowOff>84543</xdr:rowOff>
    </xdr:from>
    <xdr:to>
      <xdr:col>5</xdr:col>
      <xdr:colOff>370846</xdr:colOff>
      <xdr:row>19</xdr:row>
      <xdr:rowOff>156879</xdr:rowOff>
    </xdr:to>
    <xdr:sp macro="" textlink="">
      <xdr:nvSpPr>
        <xdr:cNvPr id="94" name="Ellipse 93">
          <a:extLst>
            <a:ext uri="{FF2B5EF4-FFF2-40B4-BE49-F238E27FC236}">
              <a16:creationId xmlns:a16="http://schemas.microsoft.com/office/drawing/2014/main" id="{00000000-0008-0000-0C00-00005E000000}"/>
            </a:ext>
          </a:extLst>
        </xdr:cNvPr>
        <xdr:cNvSpPr/>
      </xdr:nvSpPr>
      <xdr:spPr>
        <a:xfrm>
          <a:off x="5061346" y="3704043"/>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378616</xdr:colOff>
      <xdr:row>19</xdr:row>
      <xdr:rowOff>84543</xdr:rowOff>
    </xdr:from>
    <xdr:to>
      <xdr:col>5</xdr:col>
      <xdr:colOff>450616</xdr:colOff>
      <xdr:row>19</xdr:row>
      <xdr:rowOff>156879</xdr:rowOff>
    </xdr:to>
    <xdr:sp macro="" textlink="">
      <xdr:nvSpPr>
        <xdr:cNvPr id="95" name="Ellipse 94">
          <a:extLst>
            <a:ext uri="{FF2B5EF4-FFF2-40B4-BE49-F238E27FC236}">
              <a16:creationId xmlns:a16="http://schemas.microsoft.com/office/drawing/2014/main" id="{00000000-0008-0000-0C00-00005F000000}"/>
            </a:ext>
          </a:extLst>
        </xdr:cNvPr>
        <xdr:cNvSpPr/>
      </xdr:nvSpPr>
      <xdr:spPr>
        <a:xfrm>
          <a:off x="5141116" y="3704043"/>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454814</xdr:colOff>
      <xdr:row>19</xdr:row>
      <xdr:rowOff>84543</xdr:rowOff>
    </xdr:from>
    <xdr:to>
      <xdr:col>5</xdr:col>
      <xdr:colOff>526814</xdr:colOff>
      <xdr:row>19</xdr:row>
      <xdr:rowOff>156879</xdr:rowOff>
    </xdr:to>
    <xdr:sp macro="" textlink="">
      <xdr:nvSpPr>
        <xdr:cNvPr id="96" name="Ellipse 95">
          <a:extLst>
            <a:ext uri="{FF2B5EF4-FFF2-40B4-BE49-F238E27FC236}">
              <a16:creationId xmlns:a16="http://schemas.microsoft.com/office/drawing/2014/main" id="{00000000-0008-0000-0C00-000060000000}"/>
            </a:ext>
          </a:extLst>
        </xdr:cNvPr>
        <xdr:cNvSpPr/>
      </xdr:nvSpPr>
      <xdr:spPr>
        <a:xfrm>
          <a:off x="5217314" y="3704043"/>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107148</xdr:colOff>
      <xdr:row>19</xdr:row>
      <xdr:rowOff>22631</xdr:rowOff>
    </xdr:from>
    <xdr:to>
      <xdr:col>5</xdr:col>
      <xdr:colOff>179148</xdr:colOff>
      <xdr:row>19</xdr:row>
      <xdr:rowOff>94967</xdr:rowOff>
    </xdr:to>
    <xdr:sp macro="" textlink="">
      <xdr:nvSpPr>
        <xdr:cNvPr id="97" name="Ellipse 96">
          <a:extLst>
            <a:ext uri="{FF2B5EF4-FFF2-40B4-BE49-F238E27FC236}">
              <a16:creationId xmlns:a16="http://schemas.microsoft.com/office/drawing/2014/main" id="{00000000-0008-0000-0C00-000061000000}"/>
            </a:ext>
          </a:extLst>
        </xdr:cNvPr>
        <xdr:cNvSpPr/>
      </xdr:nvSpPr>
      <xdr:spPr>
        <a:xfrm>
          <a:off x="4869648" y="364213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226215</xdr:colOff>
      <xdr:row>21</xdr:row>
      <xdr:rowOff>92871</xdr:rowOff>
    </xdr:from>
    <xdr:to>
      <xdr:col>5</xdr:col>
      <xdr:colOff>298215</xdr:colOff>
      <xdr:row>21</xdr:row>
      <xdr:rowOff>165207</xdr:rowOff>
    </xdr:to>
    <xdr:sp macro="" textlink="">
      <xdr:nvSpPr>
        <xdr:cNvPr id="98" name="Ellipse 97">
          <a:extLst>
            <a:ext uri="{FF2B5EF4-FFF2-40B4-BE49-F238E27FC236}">
              <a16:creationId xmlns:a16="http://schemas.microsoft.com/office/drawing/2014/main" id="{00000000-0008-0000-0C00-000062000000}"/>
            </a:ext>
          </a:extLst>
        </xdr:cNvPr>
        <xdr:cNvSpPr/>
      </xdr:nvSpPr>
      <xdr:spPr>
        <a:xfrm>
          <a:off x="4988715" y="409337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71437</xdr:colOff>
      <xdr:row>21</xdr:row>
      <xdr:rowOff>92871</xdr:rowOff>
    </xdr:from>
    <xdr:to>
      <xdr:col>5</xdr:col>
      <xdr:colOff>143437</xdr:colOff>
      <xdr:row>21</xdr:row>
      <xdr:rowOff>165207</xdr:rowOff>
    </xdr:to>
    <xdr:sp macro="" textlink="">
      <xdr:nvSpPr>
        <xdr:cNvPr id="99" name="Ellipse 98">
          <a:extLst>
            <a:ext uri="{FF2B5EF4-FFF2-40B4-BE49-F238E27FC236}">
              <a16:creationId xmlns:a16="http://schemas.microsoft.com/office/drawing/2014/main" id="{00000000-0008-0000-0C00-000063000000}"/>
            </a:ext>
          </a:extLst>
        </xdr:cNvPr>
        <xdr:cNvSpPr/>
      </xdr:nvSpPr>
      <xdr:spPr>
        <a:xfrm>
          <a:off x="4833937" y="409337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148826</xdr:colOff>
      <xdr:row>21</xdr:row>
      <xdr:rowOff>92871</xdr:rowOff>
    </xdr:from>
    <xdr:to>
      <xdr:col>5</xdr:col>
      <xdr:colOff>220826</xdr:colOff>
      <xdr:row>21</xdr:row>
      <xdr:rowOff>165207</xdr:rowOff>
    </xdr:to>
    <xdr:sp macro="" textlink="">
      <xdr:nvSpPr>
        <xdr:cNvPr id="100" name="Ellipse 99">
          <a:extLst>
            <a:ext uri="{FF2B5EF4-FFF2-40B4-BE49-F238E27FC236}">
              <a16:creationId xmlns:a16="http://schemas.microsoft.com/office/drawing/2014/main" id="{00000000-0008-0000-0C00-000064000000}"/>
            </a:ext>
          </a:extLst>
        </xdr:cNvPr>
        <xdr:cNvSpPr/>
      </xdr:nvSpPr>
      <xdr:spPr>
        <a:xfrm>
          <a:off x="4911326" y="409337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109536</xdr:colOff>
      <xdr:row>21</xdr:row>
      <xdr:rowOff>29774</xdr:rowOff>
    </xdr:from>
    <xdr:to>
      <xdr:col>5</xdr:col>
      <xdr:colOff>181536</xdr:colOff>
      <xdr:row>21</xdr:row>
      <xdr:rowOff>102110</xdr:rowOff>
    </xdr:to>
    <xdr:sp macro="" textlink="">
      <xdr:nvSpPr>
        <xdr:cNvPr id="101" name="Ellipse 100">
          <a:extLst>
            <a:ext uri="{FF2B5EF4-FFF2-40B4-BE49-F238E27FC236}">
              <a16:creationId xmlns:a16="http://schemas.microsoft.com/office/drawing/2014/main" id="{00000000-0008-0000-0C00-000065000000}"/>
            </a:ext>
          </a:extLst>
        </xdr:cNvPr>
        <xdr:cNvSpPr/>
      </xdr:nvSpPr>
      <xdr:spPr>
        <a:xfrm>
          <a:off x="4872036" y="4030274"/>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186927</xdr:colOff>
      <xdr:row>21</xdr:row>
      <xdr:rowOff>29774</xdr:rowOff>
    </xdr:from>
    <xdr:to>
      <xdr:col>5</xdr:col>
      <xdr:colOff>258927</xdr:colOff>
      <xdr:row>21</xdr:row>
      <xdr:rowOff>102110</xdr:rowOff>
    </xdr:to>
    <xdr:sp macro="" textlink="">
      <xdr:nvSpPr>
        <xdr:cNvPr id="102" name="Ellipse 101">
          <a:extLst>
            <a:ext uri="{FF2B5EF4-FFF2-40B4-BE49-F238E27FC236}">
              <a16:creationId xmlns:a16="http://schemas.microsoft.com/office/drawing/2014/main" id="{00000000-0008-0000-0C00-000066000000}"/>
            </a:ext>
          </a:extLst>
        </xdr:cNvPr>
        <xdr:cNvSpPr/>
      </xdr:nvSpPr>
      <xdr:spPr>
        <a:xfrm>
          <a:off x="4949427" y="4030274"/>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302415</xdr:colOff>
      <xdr:row>21</xdr:row>
      <xdr:rowOff>92871</xdr:rowOff>
    </xdr:from>
    <xdr:to>
      <xdr:col>5</xdr:col>
      <xdr:colOff>374415</xdr:colOff>
      <xdr:row>21</xdr:row>
      <xdr:rowOff>165207</xdr:rowOff>
    </xdr:to>
    <xdr:sp macro="" textlink="">
      <xdr:nvSpPr>
        <xdr:cNvPr id="103" name="Ellipse 102">
          <a:extLst>
            <a:ext uri="{FF2B5EF4-FFF2-40B4-BE49-F238E27FC236}">
              <a16:creationId xmlns:a16="http://schemas.microsoft.com/office/drawing/2014/main" id="{00000000-0008-0000-0C00-000067000000}"/>
            </a:ext>
          </a:extLst>
        </xdr:cNvPr>
        <xdr:cNvSpPr/>
      </xdr:nvSpPr>
      <xdr:spPr>
        <a:xfrm>
          <a:off x="5064915" y="409337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264315</xdr:colOff>
      <xdr:row>21</xdr:row>
      <xdr:rowOff>29899</xdr:rowOff>
    </xdr:from>
    <xdr:to>
      <xdr:col>5</xdr:col>
      <xdr:colOff>336315</xdr:colOff>
      <xdr:row>21</xdr:row>
      <xdr:rowOff>102235</xdr:rowOff>
    </xdr:to>
    <xdr:sp macro="" textlink="">
      <xdr:nvSpPr>
        <xdr:cNvPr id="104" name="Ellipse 103">
          <a:extLst>
            <a:ext uri="{FF2B5EF4-FFF2-40B4-BE49-F238E27FC236}">
              <a16:creationId xmlns:a16="http://schemas.microsoft.com/office/drawing/2014/main" id="{00000000-0008-0000-0C00-000068000000}"/>
            </a:ext>
          </a:extLst>
        </xdr:cNvPr>
        <xdr:cNvSpPr/>
      </xdr:nvSpPr>
      <xdr:spPr>
        <a:xfrm>
          <a:off x="5026815" y="4030399"/>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376234</xdr:colOff>
      <xdr:row>21</xdr:row>
      <xdr:rowOff>92871</xdr:rowOff>
    </xdr:from>
    <xdr:to>
      <xdr:col>5</xdr:col>
      <xdr:colOff>448234</xdr:colOff>
      <xdr:row>21</xdr:row>
      <xdr:rowOff>165207</xdr:rowOff>
    </xdr:to>
    <xdr:sp macro="" textlink="">
      <xdr:nvSpPr>
        <xdr:cNvPr id="105" name="Ellipse 104">
          <a:extLst>
            <a:ext uri="{FF2B5EF4-FFF2-40B4-BE49-F238E27FC236}">
              <a16:creationId xmlns:a16="http://schemas.microsoft.com/office/drawing/2014/main" id="{00000000-0008-0000-0C00-000069000000}"/>
            </a:ext>
          </a:extLst>
        </xdr:cNvPr>
        <xdr:cNvSpPr/>
      </xdr:nvSpPr>
      <xdr:spPr>
        <a:xfrm>
          <a:off x="5138734" y="409337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223830</xdr:colOff>
      <xdr:row>22</xdr:row>
      <xdr:rowOff>89310</xdr:rowOff>
    </xdr:from>
    <xdr:to>
      <xdr:col>5</xdr:col>
      <xdr:colOff>295830</xdr:colOff>
      <xdr:row>22</xdr:row>
      <xdr:rowOff>161646</xdr:rowOff>
    </xdr:to>
    <xdr:sp macro="" textlink="">
      <xdr:nvSpPr>
        <xdr:cNvPr id="106" name="Ellipse 105">
          <a:extLst>
            <a:ext uri="{FF2B5EF4-FFF2-40B4-BE49-F238E27FC236}">
              <a16:creationId xmlns:a16="http://schemas.microsoft.com/office/drawing/2014/main" id="{00000000-0008-0000-0C00-00006A000000}"/>
            </a:ext>
          </a:extLst>
        </xdr:cNvPr>
        <xdr:cNvSpPr/>
      </xdr:nvSpPr>
      <xdr:spPr>
        <a:xfrm>
          <a:off x="4986330" y="428031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69052</xdr:colOff>
      <xdr:row>22</xdr:row>
      <xdr:rowOff>89310</xdr:rowOff>
    </xdr:from>
    <xdr:to>
      <xdr:col>5</xdr:col>
      <xdr:colOff>141052</xdr:colOff>
      <xdr:row>22</xdr:row>
      <xdr:rowOff>161646</xdr:rowOff>
    </xdr:to>
    <xdr:sp macro="" textlink="">
      <xdr:nvSpPr>
        <xdr:cNvPr id="107" name="Ellipse 106">
          <a:extLst>
            <a:ext uri="{FF2B5EF4-FFF2-40B4-BE49-F238E27FC236}">
              <a16:creationId xmlns:a16="http://schemas.microsoft.com/office/drawing/2014/main" id="{00000000-0008-0000-0C00-00006B000000}"/>
            </a:ext>
          </a:extLst>
        </xdr:cNvPr>
        <xdr:cNvSpPr/>
      </xdr:nvSpPr>
      <xdr:spPr>
        <a:xfrm>
          <a:off x="4831552" y="428031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146441</xdr:colOff>
      <xdr:row>22</xdr:row>
      <xdr:rowOff>89310</xdr:rowOff>
    </xdr:from>
    <xdr:to>
      <xdr:col>5</xdr:col>
      <xdr:colOff>218441</xdr:colOff>
      <xdr:row>22</xdr:row>
      <xdr:rowOff>161646</xdr:rowOff>
    </xdr:to>
    <xdr:sp macro="" textlink="">
      <xdr:nvSpPr>
        <xdr:cNvPr id="108" name="Ellipse 107">
          <a:extLst>
            <a:ext uri="{FF2B5EF4-FFF2-40B4-BE49-F238E27FC236}">
              <a16:creationId xmlns:a16="http://schemas.microsoft.com/office/drawing/2014/main" id="{00000000-0008-0000-0C00-00006C000000}"/>
            </a:ext>
          </a:extLst>
        </xdr:cNvPr>
        <xdr:cNvSpPr/>
      </xdr:nvSpPr>
      <xdr:spPr>
        <a:xfrm>
          <a:off x="4908941" y="428031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107151</xdr:colOff>
      <xdr:row>22</xdr:row>
      <xdr:rowOff>26213</xdr:rowOff>
    </xdr:from>
    <xdr:to>
      <xdr:col>5</xdr:col>
      <xdr:colOff>179151</xdr:colOff>
      <xdr:row>22</xdr:row>
      <xdr:rowOff>98549</xdr:rowOff>
    </xdr:to>
    <xdr:sp macro="" textlink="">
      <xdr:nvSpPr>
        <xdr:cNvPr id="109" name="Ellipse 108">
          <a:extLst>
            <a:ext uri="{FF2B5EF4-FFF2-40B4-BE49-F238E27FC236}">
              <a16:creationId xmlns:a16="http://schemas.microsoft.com/office/drawing/2014/main" id="{00000000-0008-0000-0C00-00006D000000}"/>
            </a:ext>
          </a:extLst>
        </xdr:cNvPr>
        <xdr:cNvSpPr/>
      </xdr:nvSpPr>
      <xdr:spPr>
        <a:xfrm>
          <a:off x="4869651" y="4217213"/>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184542</xdr:colOff>
      <xdr:row>22</xdr:row>
      <xdr:rowOff>26213</xdr:rowOff>
    </xdr:from>
    <xdr:to>
      <xdr:col>5</xdr:col>
      <xdr:colOff>256542</xdr:colOff>
      <xdr:row>22</xdr:row>
      <xdr:rowOff>98549</xdr:rowOff>
    </xdr:to>
    <xdr:sp macro="" textlink="">
      <xdr:nvSpPr>
        <xdr:cNvPr id="110" name="Ellipse 109">
          <a:extLst>
            <a:ext uri="{FF2B5EF4-FFF2-40B4-BE49-F238E27FC236}">
              <a16:creationId xmlns:a16="http://schemas.microsoft.com/office/drawing/2014/main" id="{00000000-0008-0000-0C00-00006E000000}"/>
            </a:ext>
          </a:extLst>
        </xdr:cNvPr>
        <xdr:cNvSpPr/>
      </xdr:nvSpPr>
      <xdr:spPr>
        <a:xfrm>
          <a:off x="4947042" y="4217213"/>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300030</xdr:colOff>
      <xdr:row>22</xdr:row>
      <xdr:rowOff>89310</xdr:rowOff>
    </xdr:from>
    <xdr:to>
      <xdr:col>5</xdr:col>
      <xdr:colOff>372030</xdr:colOff>
      <xdr:row>22</xdr:row>
      <xdr:rowOff>161646</xdr:rowOff>
    </xdr:to>
    <xdr:sp macro="" textlink="">
      <xdr:nvSpPr>
        <xdr:cNvPr id="111" name="Ellipse 110">
          <a:extLst>
            <a:ext uri="{FF2B5EF4-FFF2-40B4-BE49-F238E27FC236}">
              <a16:creationId xmlns:a16="http://schemas.microsoft.com/office/drawing/2014/main" id="{00000000-0008-0000-0C00-00006F000000}"/>
            </a:ext>
          </a:extLst>
        </xdr:cNvPr>
        <xdr:cNvSpPr/>
      </xdr:nvSpPr>
      <xdr:spPr>
        <a:xfrm>
          <a:off x="5062530" y="428031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375045</xdr:colOff>
      <xdr:row>22</xdr:row>
      <xdr:rowOff>89310</xdr:rowOff>
    </xdr:from>
    <xdr:to>
      <xdr:col>5</xdr:col>
      <xdr:colOff>447045</xdr:colOff>
      <xdr:row>22</xdr:row>
      <xdr:rowOff>161646</xdr:rowOff>
    </xdr:to>
    <xdr:sp macro="" textlink="">
      <xdr:nvSpPr>
        <xdr:cNvPr id="112" name="Ellipse 111">
          <a:extLst>
            <a:ext uri="{FF2B5EF4-FFF2-40B4-BE49-F238E27FC236}">
              <a16:creationId xmlns:a16="http://schemas.microsoft.com/office/drawing/2014/main" id="{00000000-0008-0000-0C00-000070000000}"/>
            </a:ext>
          </a:extLst>
        </xdr:cNvPr>
        <xdr:cNvSpPr/>
      </xdr:nvSpPr>
      <xdr:spPr>
        <a:xfrm>
          <a:off x="5137545" y="428031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453626</xdr:colOff>
      <xdr:row>22</xdr:row>
      <xdr:rowOff>89310</xdr:rowOff>
    </xdr:from>
    <xdr:to>
      <xdr:col>5</xdr:col>
      <xdr:colOff>525626</xdr:colOff>
      <xdr:row>22</xdr:row>
      <xdr:rowOff>161646</xdr:rowOff>
    </xdr:to>
    <xdr:sp macro="" textlink="">
      <xdr:nvSpPr>
        <xdr:cNvPr id="113" name="Ellipse 112">
          <a:extLst>
            <a:ext uri="{FF2B5EF4-FFF2-40B4-BE49-F238E27FC236}">
              <a16:creationId xmlns:a16="http://schemas.microsoft.com/office/drawing/2014/main" id="{00000000-0008-0000-0C00-000071000000}"/>
            </a:ext>
          </a:extLst>
        </xdr:cNvPr>
        <xdr:cNvSpPr/>
      </xdr:nvSpPr>
      <xdr:spPr>
        <a:xfrm>
          <a:off x="5216126" y="4280310"/>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223833</xdr:colOff>
      <xdr:row>23</xdr:row>
      <xdr:rowOff>89311</xdr:rowOff>
    </xdr:from>
    <xdr:to>
      <xdr:col>5</xdr:col>
      <xdr:colOff>295833</xdr:colOff>
      <xdr:row>23</xdr:row>
      <xdr:rowOff>161647</xdr:rowOff>
    </xdr:to>
    <xdr:sp macro="" textlink="">
      <xdr:nvSpPr>
        <xdr:cNvPr id="114" name="Ellipse 113">
          <a:extLst>
            <a:ext uri="{FF2B5EF4-FFF2-40B4-BE49-F238E27FC236}">
              <a16:creationId xmlns:a16="http://schemas.microsoft.com/office/drawing/2014/main" id="{00000000-0008-0000-0C00-000072000000}"/>
            </a:ext>
          </a:extLst>
        </xdr:cNvPr>
        <xdr:cNvSpPr/>
      </xdr:nvSpPr>
      <xdr:spPr>
        <a:xfrm>
          <a:off x="4986333" y="447081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69055</xdr:colOff>
      <xdr:row>23</xdr:row>
      <xdr:rowOff>89311</xdr:rowOff>
    </xdr:from>
    <xdr:to>
      <xdr:col>5</xdr:col>
      <xdr:colOff>141055</xdr:colOff>
      <xdr:row>23</xdr:row>
      <xdr:rowOff>161647</xdr:rowOff>
    </xdr:to>
    <xdr:sp macro="" textlink="">
      <xdr:nvSpPr>
        <xdr:cNvPr id="115" name="Ellipse 114">
          <a:extLst>
            <a:ext uri="{FF2B5EF4-FFF2-40B4-BE49-F238E27FC236}">
              <a16:creationId xmlns:a16="http://schemas.microsoft.com/office/drawing/2014/main" id="{00000000-0008-0000-0C00-000073000000}"/>
            </a:ext>
          </a:extLst>
        </xdr:cNvPr>
        <xdr:cNvSpPr/>
      </xdr:nvSpPr>
      <xdr:spPr>
        <a:xfrm>
          <a:off x="4831555" y="447081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146444</xdr:colOff>
      <xdr:row>23</xdr:row>
      <xdr:rowOff>89311</xdr:rowOff>
    </xdr:from>
    <xdr:to>
      <xdr:col>5</xdr:col>
      <xdr:colOff>218444</xdr:colOff>
      <xdr:row>23</xdr:row>
      <xdr:rowOff>161647</xdr:rowOff>
    </xdr:to>
    <xdr:sp macro="" textlink="">
      <xdr:nvSpPr>
        <xdr:cNvPr id="116" name="Ellipse 115">
          <a:extLst>
            <a:ext uri="{FF2B5EF4-FFF2-40B4-BE49-F238E27FC236}">
              <a16:creationId xmlns:a16="http://schemas.microsoft.com/office/drawing/2014/main" id="{00000000-0008-0000-0C00-000074000000}"/>
            </a:ext>
          </a:extLst>
        </xdr:cNvPr>
        <xdr:cNvSpPr/>
      </xdr:nvSpPr>
      <xdr:spPr>
        <a:xfrm>
          <a:off x="4908944" y="447081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298844</xdr:colOff>
      <xdr:row>23</xdr:row>
      <xdr:rowOff>89311</xdr:rowOff>
    </xdr:from>
    <xdr:to>
      <xdr:col>5</xdr:col>
      <xdr:colOff>370844</xdr:colOff>
      <xdr:row>23</xdr:row>
      <xdr:rowOff>161647</xdr:rowOff>
    </xdr:to>
    <xdr:sp macro="" textlink="">
      <xdr:nvSpPr>
        <xdr:cNvPr id="117" name="Ellipse 116">
          <a:extLst>
            <a:ext uri="{FF2B5EF4-FFF2-40B4-BE49-F238E27FC236}">
              <a16:creationId xmlns:a16="http://schemas.microsoft.com/office/drawing/2014/main" id="{00000000-0008-0000-0C00-000075000000}"/>
            </a:ext>
          </a:extLst>
        </xdr:cNvPr>
        <xdr:cNvSpPr/>
      </xdr:nvSpPr>
      <xdr:spPr>
        <a:xfrm>
          <a:off x="5061344" y="447081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378614</xdr:colOff>
      <xdr:row>23</xdr:row>
      <xdr:rowOff>89311</xdr:rowOff>
    </xdr:from>
    <xdr:to>
      <xdr:col>5</xdr:col>
      <xdr:colOff>450614</xdr:colOff>
      <xdr:row>23</xdr:row>
      <xdr:rowOff>161647</xdr:rowOff>
    </xdr:to>
    <xdr:sp macro="" textlink="">
      <xdr:nvSpPr>
        <xdr:cNvPr id="118" name="Ellipse 117">
          <a:extLst>
            <a:ext uri="{FF2B5EF4-FFF2-40B4-BE49-F238E27FC236}">
              <a16:creationId xmlns:a16="http://schemas.microsoft.com/office/drawing/2014/main" id="{00000000-0008-0000-0C00-000076000000}"/>
            </a:ext>
          </a:extLst>
        </xdr:cNvPr>
        <xdr:cNvSpPr/>
      </xdr:nvSpPr>
      <xdr:spPr>
        <a:xfrm>
          <a:off x="5141114" y="447081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454812</xdr:colOff>
      <xdr:row>23</xdr:row>
      <xdr:rowOff>89311</xdr:rowOff>
    </xdr:from>
    <xdr:to>
      <xdr:col>5</xdr:col>
      <xdr:colOff>526812</xdr:colOff>
      <xdr:row>23</xdr:row>
      <xdr:rowOff>161647</xdr:rowOff>
    </xdr:to>
    <xdr:sp macro="" textlink="">
      <xdr:nvSpPr>
        <xdr:cNvPr id="119" name="Ellipse 118">
          <a:extLst>
            <a:ext uri="{FF2B5EF4-FFF2-40B4-BE49-F238E27FC236}">
              <a16:creationId xmlns:a16="http://schemas.microsoft.com/office/drawing/2014/main" id="{00000000-0008-0000-0C00-000077000000}"/>
            </a:ext>
          </a:extLst>
        </xdr:cNvPr>
        <xdr:cNvSpPr/>
      </xdr:nvSpPr>
      <xdr:spPr>
        <a:xfrm>
          <a:off x="5217312" y="447081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107146</xdr:colOff>
      <xdr:row>23</xdr:row>
      <xdr:rowOff>27399</xdr:rowOff>
    </xdr:from>
    <xdr:to>
      <xdr:col>5</xdr:col>
      <xdr:colOff>179146</xdr:colOff>
      <xdr:row>23</xdr:row>
      <xdr:rowOff>99735</xdr:rowOff>
    </xdr:to>
    <xdr:sp macro="" textlink="">
      <xdr:nvSpPr>
        <xdr:cNvPr id="120" name="Ellipse 119">
          <a:extLst>
            <a:ext uri="{FF2B5EF4-FFF2-40B4-BE49-F238E27FC236}">
              <a16:creationId xmlns:a16="http://schemas.microsoft.com/office/drawing/2014/main" id="{00000000-0008-0000-0C00-000078000000}"/>
            </a:ext>
          </a:extLst>
        </xdr:cNvPr>
        <xdr:cNvSpPr/>
      </xdr:nvSpPr>
      <xdr:spPr>
        <a:xfrm>
          <a:off x="4869646" y="4408899"/>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twoCellAnchor editAs="absolute">
    <xdr:from>
      <xdr:col>5</xdr:col>
      <xdr:colOff>531009</xdr:colOff>
      <xdr:row>23</xdr:row>
      <xdr:rowOff>89311</xdr:rowOff>
    </xdr:from>
    <xdr:to>
      <xdr:col>5</xdr:col>
      <xdr:colOff>603009</xdr:colOff>
      <xdr:row>23</xdr:row>
      <xdr:rowOff>161647</xdr:rowOff>
    </xdr:to>
    <xdr:sp macro="" textlink="">
      <xdr:nvSpPr>
        <xdr:cNvPr id="121" name="Ellipse 120">
          <a:extLst>
            <a:ext uri="{FF2B5EF4-FFF2-40B4-BE49-F238E27FC236}">
              <a16:creationId xmlns:a16="http://schemas.microsoft.com/office/drawing/2014/main" id="{00000000-0008-0000-0C00-000079000000}"/>
            </a:ext>
          </a:extLst>
        </xdr:cNvPr>
        <xdr:cNvSpPr/>
      </xdr:nvSpPr>
      <xdr:spPr>
        <a:xfrm>
          <a:off x="5293509" y="4470811"/>
          <a:ext cx="72000" cy="72336"/>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lang="fr-FR" sz="14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9D5EF-75F6-422B-B457-E87FC4395324}">
  <sheetPr codeName="Feuil7">
    <tabColor rgb="FFFF0000"/>
  </sheetPr>
  <dimension ref="A1:DX105"/>
  <sheetViews>
    <sheetView workbookViewId="0"/>
  </sheetViews>
  <sheetFormatPr defaultColWidth="11.42578125" defaultRowHeight="15"/>
  <cols>
    <col min="1" max="1" width="2.7109375" style="33" customWidth="1"/>
    <col min="2" max="2" width="25.7109375" style="33" customWidth="1"/>
    <col min="3" max="4" width="20.7109375" style="33" customWidth="1"/>
    <col min="5" max="7" width="12.7109375" style="33" customWidth="1"/>
    <col min="8" max="43" width="1.42578125" style="37" customWidth="1"/>
    <col min="44" max="44" width="1.42578125" style="37" hidden="1" customWidth="1"/>
    <col min="45" max="78" width="1.42578125" style="37" customWidth="1"/>
    <col min="79" max="79" width="1.42578125" style="33" customWidth="1"/>
    <col min="80" max="113" width="1.85546875" style="33" customWidth="1"/>
    <col min="114" max="114" width="1.42578125" style="33" customWidth="1"/>
    <col min="115" max="115" width="8.7109375" style="33" customWidth="1"/>
    <col min="116" max="125" width="1.42578125" style="33" customWidth="1"/>
    <col min="126" max="128" width="11.42578125" style="33"/>
    <col min="129" max="16384" width="11.42578125" style="38"/>
  </cols>
  <sheetData>
    <row r="1" spans="2:128">
      <c r="H1" s="43"/>
      <c r="I1" s="43"/>
      <c r="J1" s="43"/>
      <c r="K1" s="43"/>
      <c r="L1" s="43"/>
      <c r="M1" s="43"/>
      <c r="N1" s="43"/>
      <c r="O1" s="43"/>
      <c r="P1" s="44"/>
      <c r="Q1" s="44"/>
      <c r="R1" s="44"/>
      <c r="S1" s="44"/>
      <c r="T1" s="44"/>
      <c r="U1" s="44"/>
      <c r="V1" s="44"/>
      <c r="W1" s="44"/>
      <c r="X1" s="44"/>
      <c r="Y1" s="44"/>
      <c r="Z1" s="44"/>
      <c r="AA1" s="44"/>
      <c r="AB1" s="44"/>
      <c r="AC1" s="44"/>
      <c r="AD1" s="44"/>
      <c r="AE1" s="44"/>
      <c r="AF1" s="44"/>
      <c r="AG1" s="44"/>
      <c r="AH1" s="43"/>
      <c r="AI1" s="43"/>
      <c r="AJ1" s="43"/>
      <c r="AK1" s="43"/>
      <c r="AL1" s="43"/>
      <c r="AM1" s="43"/>
      <c r="AN1" s="43"/>
      <c r="AO1" s="43"/>
      <c r="AS1" s="45"/>
      <c r="AT1" s="45"/>
      <c r="AU1" s="45"/>
      <c r="AV1" s="45"/>
      <c r="AW1" s="45"/>
      <c r="AX1" s="45"/>
      <c r="AY1" s="45"/>
      <c r="AZ1" s="45"/>
      <c r="BS1" s="45"/>
      <c r="BT1" s="45"/>
      <c r="BU1" s="45"/>
      <c r="BV1" s="45"/>
      <c r="BW1" s="45"/>
      <c r="BX1" s="45"/>
      <c r="BY1" s="45"/>
      <c r="BZ1" s="45"/>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row>
    <row r="2" spans="2:128">
      <c r="B2" s="33" t="s">
        <v>266</v>
      </c>
      <c r="E2" s="33" t="s">
        <v>269</v>
      </c>
      <c r="H2" s="43"/>
      <c r="I2" s="43"/>
      <c r="J2" s="43"/>
      <c r="K2" s="43"/>
      <c r="L2" s="43"/>
      <c r="M2" s="43"/>
      <c r="N2" s="43"/>
      <c r="O2" s="44"/>
      <c r="P2" s="44"/>
      <c r="Q2" s="44"/>
      <c r="R2" s="44"/>
      <c r="S2" s="44"/>
      <c r="T2" s="44"/>
      <c r="U2" s="44"/>
      <c r="V2" s="44"/>
      <c r="W2" s="44"/>
      <c r="X2" s="44"/>
      <c r="Y2" s="44"/>
      <c r="Z2" s="44"/>
      <c r="AA2" s="44"/>
      <c r="AB2" s="44"/>
      <c r="AC2" s="44"/>
      <c r="AD2" s="44"/>
      <c r="AE2" s="44"/>
      <c r="AF2" s="44"/>
      <c r="AG2" s="44"/>
      <c r="AH2" s="44"/>
      <c r="AI2" s="43"/>
      <c r="AJ2" s="43"/>
      <c r="AK2" s="43"/>
      <c r="AL2" s="43"/>
      <c r="AM2" s="43"/>
      <c r="AN2" s="43"/>
      <c r="AO2" s="43"/>
      <c r="AS2" s="45"/>
      <c r="AT2" s="45"/>
      <c r="AU2" s="45"/>
      <c r="AV2" s="45"/>
      <c r="AW2" s="45"/>
      <c r="AX2" s="45"/>
      <c r="AY2" s="45"/>
      <c r="BT2" s="45"/>
      <c r="BU2" s="45"/>
      <c r="BV2" s="45"/>
      <c r="BW2" s="45"/>
      <c r="BX2" s="45"/>
      <c r="BY2" s="45"/>
      <c r="BZ2" s="45"/>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row>
    <row r="3" spans="2:128">
      <c r="C3" s="38"/>
      <c r="D3" s="47"/>
      <c r="H3" s="43"/>
      <c r="I3" s="43"/>
      <c r="J3" s="43"/>
      <c r="K3" s="43"/>
      <c r="L3" s="43"/>
      <c r="M3" s="43"/>
      <c r="N3" s="44"/>
      <c r="O3" s="44"/>
      <c r="P3" s="44"/>
      <c r="Q3" s="44"/>
      <c r="R3" s="44"/>
      <c r="S3" s="44"/>
      <c r="T3" s="44"/>
      <c r="U3" s="44"/>
      <c r="V3" s="44"/>
      <c r="W3" s="44"/>
      <c r="X3" s="44"/>
      <c r="Y3" s="44"/>
      <c r="Z3" s="44"/>
      <c r="AA3" s="44"/>
      <c r="AB3" s="44"/>
      <c r="AC3" s="44"/>
      <c r="AD3" s="44"/>
      <c r="AE3" s="44"/>
      <c r="AF3" s="44"/>
      <c r="AG3" s="44"/>
      <c r="AH3" s="44"/>
      <c r="AI3" s="44"/>
      <c r="AJ3" s="43"/>
      <c r="AK3" s="43"/>
      <c r="AL3" s="43"/>
      <c r="AM3" s="43"/>
      <c r="AN3" s="43"/>
      <c r="AO3" s="43"/>
      <c r="AS3" s="45"/>
      <c r="AT3" s="45"/>
      <c r="AU3" s="45"/>
      <c r="AV3" s="45"/>
      <c r="AW3" s="45"/>
      <c r="AX3" s="45"/>
      <c r="BU3" s="45"/>
      <c r="BV3" s="45"/>
      <c r="BW3" s="45"/>
      <c r="BX3" s="45"/>
      <c r="BY3" s="45"/>
      <c r="BZ3" s="45"/>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row>
    <row r="4" spans="2:128" ht="15" customHeight="1">
      <c r="B4" s="184" t="s">
        <v>233</v>
      </c>
      <c r="C4" s="184"/>
      <c r="E4" s="34" t="s">
        <v>267</v>
      </c>
      <c r="F4" s="35">
        <v>71.3</v>
      </c>
      <c r="G4" s="36">
        <f>VLOOKUP(1,'Constant list'!$B$27:$D$35,2,FALSE)</f>
        <v>4</v>
      </c>
      <c r="H4" s="43"/>
      <c r="I4" s="43"/>
      <c r="J4" s="43"/>
      <c r="K4" s="43"/>
      <c r="L4" s="43"/>
      <c r="M4" s="44"/>
      <c r="BD4" s="183"/>
      <c r="BE4" s="183"/>
      <c r="BF4" s="183"/>
      <c r="BG4" s="183"/>
      <c r="BH4" s="183"/>
      <c r="BI4" s="183"/>
      <c r="BJ4" s="183"/>
      <c r="BK4" s="183"/>
      <c r="BL4" s="183"/>
      <c r="BM4" s="183"/>
      <c r="BN4" s="183"/>
      <c r="BO4" s="183"/>
      <c r="BP4" s="183"/>
      <c r="BQ4" s="183"/>
      <c r="BR4" s="183"/>
      <c r="BS4" s="183"/>
      <c r="BT4" s="183"/>
      <c r="BU4" s="183"/>
      <c r="BV4" s="45"/>
      <c r="BW4" s="45"/>
      <c r="BX4" s="45"/>
      <c r="BY4" s="45"/>
      <c r="BZ4" s="45"/>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row>
    <row r="5" spans="2:128">
      <c r="B5" s="73" t="s">
        <v>234</v>
      </c>
      <c r="C5" s="102" t="s">
        <v>148</v>
      </c>
      <c r="E5" s="34" t="s">
        <v>204</v>
      </c>
      <c r="F5" s="39">
        <f>VLOOKUP(1,'Constant list'!$B$27:$D$35,3,FALSE)</f>
        <v>50</v>
      </c>
      <c r="H5" s="43"/>
      <c r="I5" s="43"/>
      <c r="J5" s="43"/>
      <c r="K5" s="43"/>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3"/>
      <c r="AM5" s="43"/>
      <c r="AN5" s="43"/>
      <c r="AO5" s="43"/>
      <c r="AS5" s="45"/>
      <c r="AT5" s="45"/>
      <c r="AU5" s="45"/>
      <c r="AV5" s="45"/>
      <c r="BW5" s="45"/>
      <c r="BX5" s="45"/>
      <c r="BY5" s="45"/>
      <c r="BZ5" s="45"/>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row>
    <row r="6" spans="2:128">
      <c r="B6" s="73" t="s">
        <v>235</v>
      </c>
      <c r="C6" s="102" t="s">
        <v>156</v>
      </c>
      <c r="E6" s="34" t="s">
        <v>268</v>
      </c>
      <c r="F6" s="46">
        <v>8</v>
      </c>
      <c r="H6" s="43"/>
      <c r="I6" s="43"/>
      <c r="J6" s="43"/>
      <c r="K6" s="44"/>
      <c r="L6" s="44"/>
      <c r="M6" s="44"/>
      <c r="N6" s="44"/>
      <c r="O6" s="44"/>
      <c r="P6" s="44"/>
      <c r="Q6" s="44"/>
      <c r="R6" s="44"/>
      <c r="S6" s="44"/>
      <c r="BX6" s="45"/>
      <c r="BY6" s="45"/>
      <c r="BZ6" s="45"/>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row>
    <row r="7" spans="2:128">
      <c r="B7" s="73" t="s">
        <v>145</v>
      </c>
      <c r="C7" s="103">
        <v>2</v>
      </c>
      <c r="E7" s="106"/>
      <c r="F7" s="108"/>
      <c r="G7" s="107"/>
      <c r="H7" s="43"/>
      <c r="I7" s="43"/>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S7" s="44"/>
      <c r="AT7" s="44"/>
      <c r="AU7" s="44"/>
      <c r="AV7" s="44"/>
      <c r="AW7" s="44"/>
      <c r="AX7" s="44"/>
      <c r="AY7" s="44"/>
      <c r="AZ7" s="44"/>
      <c r="BA7" s="44"/>
      <c r="BB7" s="44"/>
      <c r="BC7" s="44"/>
      <c r="BD7" s="44"/>
      <c r="BE7" s="44"/>
      <c r="BF7" s="44"/>
      <c r="BG7" s="44"/>
      <c r="BH7" s="44"/>
      <c r="BI7" s="44"/>
      <c r="BJ7" s="44"/>
      <c r="BK7" s="44"/>
      <c r="BL7" s="44"/>
      <c r="BY7" s="45"/>
      <c r="BZ7" s="45"/>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row>
    <row r="8" spans="2:128">
      <c r="B8" s="65" t="s">
        <v>236</v>
      </c>
      <c r="C8" s="73" t="str">
        <f>'Cable and cord selector'!D31</f>
        <v>ACTPC6ASFLS20yy (yy = color code)</v>
      </c>
      <c r="E8" s="106"/>
      <c r="F8" s="108"/>
      <c r="G8" s="107"/>
      <c r="H8" s="43"/>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3"/>
      <c r="AS8" s="45"/>
      <c r="BZ8" s="45"/>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row>
    <row r="9" spans="2:128">
      <c r="B9" s="73" t="s">
        <v>246</v>
      </c>
      <c r="C9" s="73"/>
      <c r="E9" s="33" t="s">
        <v>270</v>
      </c>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row>
    <row r="10" spans="2:128">
      <c r="H10" s="43"/>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3"/>
      <c r="AS10" s="45"/>
      <c r="BZ10" s="45"/>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row>
    <row r="11" spans="2:128">
      <c r="B11" s="73" t="s">
        <v>216</v>
      </c>
      <c r="C11" s="88"/>
      <c r="H11" s="43"/>
      <c r="I11" s="43"/>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3"/>
      <c r="AO11" s="43"/>
      <c r="AS11" s="45"/>
      <c r="AT11" s="45"/>
      <c r="BY11" s="45"/>
      <c r="BZ11" s="45"/>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row>
    <row r="12" spans="2:128">
      <c r="B12" s="73" t="s">
        <v>237</v>
      </c>
      <c r="C12" s="104">
        <v>20</v>
      </c>
      <c r="H12" s="43"/>
      <c r="I12" s="43"/>
      <c r="J12" s="43"/>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3"/>
      <c r="AN12" s="43"/>
      <c r="AO12" s="43"/>
      <c r="AS12" s="45"/>
      <c r="AT12" s="45"/>
      <c r="AU12" s="45"/>
      <c r="BX12" s="45"/>
      <c r="BY12" s="45"/>
      <c r="BZ12" s="45"/>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row>
    <row r="13" spans="2:128">
      <c r="B13" s="33" t="s">
        <v>249</v>
      </c>
      <c r="H13" s="43"/>
      <c r="I13" s="43"/>
      <c r="J13" s="43"/>
      <c r="K13" s="43"/>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3"/>
      <c r="AM13" s="43"/>
      <c r="AN13" s="43"/>
      <c r="AO13" s="43"/>
      <c r="AS13" s="45"/>
      <c r="AT13" s="45"/>
      <c r="AU13" s="45"/>
      <c r="AV13" s="45"/>
      <c r="BW13" s="45"/>
      <c r="BX13" s="45"/>
      <c r="BY13" s="45"/>
      <c r="BZ13" s="45"/>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row>
    <row r="14" spans="2:128">
      <c r="H14" s="43"/>
      <c r="I14" s="43"/>
      <c r="J14" s="43"/>
      <c r="K14" s="43"/>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3"/>
      <c r="AM14" s="43"/>
      <c r="AN14" s="43"/>
      <c r="AO14" s="43"/>
      <c r="AS14" s="45"/>
      <c r="AT14" s="45"/>
      <c r="AU14" s="45"/>
      <c r="AV14" s="45"/>
      <c r="BW14" s="45"/>
      <c r="BX14" s="45"/>
      <c r="BY14" s="45"/>
      <c r="BZ14" s="45"/>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row>
    <row r="15" spans="2:128">
      <c r="B15" s="184" t="s">
        <v>247</v>
      </c>
      <c r="C15" s="184"/>
      <c r="E15" s="182" t="s">
        <v>251</v>
      </c>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S15" s="45"/>
      <c r="AT15" s="45"/>
      <c r="AU15" s="45"/>
      <c r="AV15" s="45"/>
      <c r="BW15" s="45"/>
      <c r="BX15" s="45"/>
      <c r="BY15" s="45"/>
      <c r="BZ15" s="45"/>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row>
    <row r="16" spans="2:128">
      <c r="B16" s="73" t="s">
        <v>1</v>
      </c>
      <c r="C16" s="88"/>
      <c r="E16" s="187" t="s">
        <v>255</v>
      </c>
      <c r="F16" s="187"/>
      <c r="G16" s="34"/>
      <c r="H16" s="43"/>
      <c r="I16" s="43"/>
      <c r="J16" s="43"/>
      <c r="K16" s="43"/>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3"/>
      <c r="AM16" s="43"/>
      <c r="AN16" s="43"/>
      <c r="AO16" s="43"/>
      <c r="AS16" s="45"/>
      <c r="AT16" s="45"/>
      <c r="AU16" s="45"/>
      <c r="AV16" s="45"/>
      <c r="BW16" s="45"/>
      <c r="BX16" s="45"/>
      <c r="BY16" s="45"/>
      <c r="BZ16" s="45"/>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row>
    <row r="17" spans="2:128">
      <c r="B17" s="73" t="s">
        <v>2</v>
      </c>
      <c r="C17" s="88"/>
      <c r="E17" s="187" t="s">
        <v>253</v>
      </c>
      <c r="F17" s="187"/>
      <c r="G17" s="34"/>
      <c r="H17" s="43"/>
      <c r="I17" s="43"/>
      <c r="J17" s="43"/>
      <c r="K17" s="43"/>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3"/>
      <c r="AM17" s="43"/>
      <c r="AN17" s="43"/>
      <c r="AO17" s="43"/>
      <c r="AS17" s="45"/>
      <c r="AT17" s="45"/>
      <c r="AU17" s="45"/>
      <c r="AV17" s="45"/>
      <c r="BW17" s="45"/>
      <c r="BX17" s="45"/>
      <c r="BY17" s="45"/>
      <c r="BZ17" s="45"/>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row>
    <row r="18" spans="2:128">
      <c r="B18" s="73" t="s">
        <v>248</v>
      </c>
      <c r="C18" s="88"/>
      <c r="E18" s="187" t="s">
        <v>223</v>
      </c>
      <c r="F18" s="187"/>
      <c r="G18" s="34"/>
      <c r="H18" s="43"/>
      <c r="I18" s="43"/>
      <c r="J18" s="43"/>
      <c r="K18" s="43"/>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3"/>
      <c r="AM18" s="43"/>
      <c r="AN18" s="43"/>
      <c r="AO18" s="43"/>
      <c r="AS18" s="45"/>
      <c r="AT18" s="45"/>
      <c r="AU18" s="45"/>
      <c r="AV18" s="45"/>
      <c r="BW18" s="45"/>
      <c r="BX18" s="45"/>
      <c r="BY18" s="45"/>
      <c r="BZ18" s="45"/>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row>
    <row r="19" spans="2:128">
      <c r="B19" s="65" t="s">
        <v>236</v>
      </c>
      <c r="C19" s="73"/>
      <c r="E19" s="187" t="s">
        <v>254</v>
      </c>
      <c r="F19" s="187"/>
      <c r="G19" s="34"/>
      <c r="H19" s="43"/>
      <c r="I19" s="43"/>
      <c r="J19" s="43"/>
      <c r="K19" s="43"/>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3"/>
      <c r="AM19" s="43"/>
      <c r="AN19" s="43"/>
      <c r="AO19" s="43"/>
      <c r="AS19" s="45"/>
      <c r="AT19" s="45"/>
      <c r="AU19" s="45"/>
      <c r="AV19" s="45"/>
      <c r="BW19" s="45"/>
      <c r="BX19" s="45"/>
      <c r="BY19" s="45"/>
      <c r="BZ19" s="45"/>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row>
    <row r="20" spans="2:128">
      <c r="B20" s="73" t="s">
        <v>246</v>
      </c>
      <c r="C20" s="73"/>
      <c r="E20" s="187"/>
      <c r="F20" s="187"/>
      <c r="G20" s="34"/>
      <c r="H20" s="43"/>
      <c r="I20" s="43"/>
      <c r="J20" s="43"/>
      <c r="K20" s="43"/>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3"/>
      <c r="AM20" s="43"/>
      <c r="AN20" s="43"/>
      <c r="AO20" s="43"/>
      <c r="AS20" s="45"/>
      <c r="AT20" s="45"/>
      <c r="AU20" s="45"/>
      <c r="AV20" s="45"/>
      <c r="BW20" s="45"/>
      <c r="BX20" s="45"/>
      <c r="BY20" s="45"/>
      <c r="BZ20" s="45"/>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row>
    <row r="21" spans="2:128">
      <c r="E21" s="187" t="s">
        <v>252</v>
      </c>
      <c r="F21" s="187"/>
      <c r="G21" s="34"/>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S21" s="45"/>
      <c r="AT21" s="45"/>
      <c r="AU21" s="45"/>
      <c r="AV21" s="45"/>
      <c r="AW21" s="45"/>
      <c r="AX21" s="181"/>
      <c r="AY21" s="181"/>
      <c r="AZ21" s="181"/>
      <c r="BA21" s="181"/>
      <c r="BB21" s="181"/>
      <c r="BC21" s="181"/>
      <c r="BD21" s="182" t="s">
        <v>213</v>
      </c>
      <c r="BE21" s="182"/>
      <c r="BF21" s="182"/>
      <c r="BG21" s="182"/>
      <c r="BH21" s="182"/>
      <c r="BI21" s="182"/>
      <c r="BJ21" s="182"/>
      <c r="BK21" s="182"/>
      <c r="BL21" s="182"/>
      <c r="BM21" s="182"/>
      <c r="BN21" s="182"/>
      <c r="BO21" s="182"/>
      <c r="BP21" s="181"/>
      <c r="BQ21" s="181"/>
      <c r="BR21" s="181"/>
      <c r="BS21" s="181"/>
      <c r="BT21" s="181"/>
      <c r="BU21" s="181"/>
      <c r="BV21" s="45"/>
      <c r="BW21" s="45"/>
      <c r="BX21" s="45"/>
      <c r="BY21" s="45"/>
      <c r="BZ21" s="45"/>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row>
    <row r="22" spans="2:128">
      <c r="B22" s="73" t="s">
        <v>145</v>
      </c>
      <c r="C22" s="88"/>
      <c r="E22" s="187"/>
      <c r="F22" s="187"/>
      <c r="G22" s="34"/>
      <c r="H22" s="43"/>
      <c r="I22" s="43"/>
      <c r="J22" s="43"/>
      <c r="K22" s="43"/>
      <c r="L22" s="43"/>
      <c r="M22" s="4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43"/>
      <c r="AK22" s="43"/>
      <c r="AL22" s="43"/>
      <c r="AM22" s="43"/>
      <c r="AN22" s="43"/>
      <c r="AO22" s="43"/>
      <c r="AS22" s="43"/>
      <c r="AT22" s="43"/>
      <c r="AU22" s="43"/>
      <c r="AV22" s="43"/>
      <c r="AW22" s="43"/>
      <c r="AX22" s="43"/>
      <c r="AY22" s="183"/>
      <c r="AZ22" s="183"/>
      <c r="BA22" s="183"/>
      <c r="BB22" s="183"/>
      <c r="BC22" s="183"/>
      <c r="BD22" s="183"/>
      <c r="BE22" s="183"/>
      <c r="BF22" s="183"/>
      <c r="BG22" s="183"/>
      <c r="BH22" s="183"/>
      <c r="BI22" s="183"/>
      <c r="BJ22" s="183"/>
      <c r="BK22" s="183"/>
      <c r="BL22" s="183"/>
      <c r="BM22" s="183"/>
      <c r="BN22" s="183"/>
      <c r="BO22" s="183"/>
      <c r="BP22" s="183"/>
      <c r="BQ22" s="183"/>
      <c r="BR22" s="183"/>
      <c r="BS22" s="183"/>
      <c r="BT22" s="183"/>
      <c r="BU22" s="43"/>
      <c r="BV22" s="43"/>
      <c r="BW22" s="43"/>
      <c r="BX22" s="43"/>
      <c r="BY22" s="43"/>
      <c r="BZ22" s="43"/>
      <c r="DL22" s="38"/>
      <c r="DM22" s="38"/>
      <c r="DN22" s="38"/>
      <c r="DO22" s="38"/>
      <c r="DP22" s="38"/>
      <c r="DQ22" s="38"/>
      <c r="DR22" s="38"/>
      <c r="DS22" s="38"/>
      <c r="DT22" s="38"/>
      <c r="DU22" s="38"/>
      <c r="DV22" s="38"/>
      <c r="DW22" s="38"/>
      <c r="DX22" s="38"/>
    </row>
    <row r="23" spans="2:128">
      <c r="B23" s="73" t="s">
        <v>216</v>
      </c>
      <c r="C23" s="88"/>
      <c r="E23" s="187" t="s">
        <v>256</v>
      </c>
      <c r="F23" s="187"/>
      <c r="G23" s="34"/>
      <c r="H23" s="89"/>
      <c r="I23" s="89"/>
      <c r="J23" s="89"/>
      <c r="K23" s="89"/>
      <c r="L23" s="89"/>
      <c r="M23" s="89"/>
      <c r="N23" s="89"/>
      <c r="O23" s="89"/>
      <c r="P23" s="185"/>
      <c r="Q23" s="185"/>
      <c r="R23" s="185"/>
      <c r="S23" s="185"/>
      <c r="T23" s="185" t="s">
        <v>377</v>
      </c>
      <c r="U23" s="185"/>
      <c r="V23" s="185" t="s">
        <v>377</v>
      </c>
      <c r="W23" s="185"/>
      <c r="X23" s="185" t="s">
        <v>377</v>
      </c>
      <c r="Y23" s="185"/>
      <c r="Z23" s="185" t="s">
        <v>377</v>
      </c>
      <c r="AA23" s="185"/>
      <c r="AB23" s="185" t="s">
        <v>377</v>
      </c>
      <c r="AC23" s="185"/>
      <c r="AD23" s="185"/>
      <c r="AE23" s="185"/>
      <c r="AF23" s="185"/>
      <c r="AG23" s="185"/>
      <c r="AH23" s="89"/>
      <c r="AI23" s="89"/>
      <c r="AJ23" s="89"/>
      <c r="AK23" s="89"/>
      <c r="AL23" s="89"/>
      <c r="AM23" s="89"/>
      <c r="AN23" s="89"/>
      <c r="AO23" s="90"/>
      <c r="AS23" s="43"/>
      <c r="AT23" s="43"/>
      <c r="AU23" s="43"/>
      <c r="AV23" s="43"/>
      <c r="AW23" s="43"/>
      <c r="AX23" s="43"/>
      <c r="AY23" s="43"/>
      <c r="AZ23" s="43"/>
      <c r="BA23" s="183"/>
      <c r="BB23" s="183"/>
      <c r="BC23" s="183"/>
      <c r="BD23" s="183"/>
      <c r="BE23" s="183" t="s">
        <v>377</v>
      </c>
      <c r="BF23" s="183"/>
      <c r="BG23" s="183" t="s">
        <v>377</v>
      </c>
      <c r="BH23" s="183"/>
      <c r="BI23" s="183" t="s">
        <v>377</v>
      </c>
      <c r="BJ23" s="183"/>
      <c r="BK23" s="183" t="s">
        <v>377</v>
      </c>
      <c r="BL23" s="183"/>
      <c r="BM23" s="183" t="s">
        <v>377</v>
      </c>
      <c r="BN23" s="183"/>
      <c r="BO23" s="183"/>
      <c r="BP23" s="183"/>
      <c r="BQ23" s="183"/>
      <c r="BR23" s="183"/>
      <c r="BS23" s="43"/>
      <c r="BT23" s="43"/>
      <c r="BU23" s="43"/>
      <c r="BV23" s="43"/>
      <c r="BW23" s="43"/>
      <c r="BX23" s="43"/>
      <c r="BY23" s="43"/>
      <c r="BZ23" s="43"/>
      <c r="CB23" s="66"/>
      <c r="CC23" s="66"/>
      <c r="CD23" s="66"/>
      <c r="CE23" s="66"/>
      <c r="CF23" s="66"/>
      <c r="CG23" s="66"/>
      <c r="CH23" s="66"/>
      <c r="CI23" s="66"/>
      <c r="CJ23" s="186"/>
      <c r="CK23" s="186"/>
      <c r="CL23" s="186"/>
      <c r="CM23" s="186"/>
      <c r="CN23" s="186">
        <v>191</v>
      </c>
      <c r="CO23" s="186"/>
      <c r="CP23" s="186">
        <v>179</v>
      </c>
      <c r="CQ23" s="186"/>
      <c r="CR23" s="186">
        <v>165</v>
      </c>
      <c r="CS23" s="186"/>
      <c r="CT23" s="186">
        <v>178</v>
      </c>
      <c r="CU23" s="186"/>
      <c r="CV23" s="186">
        <v>190</v>
      </c>
      <c r="CW23" s="186"/>
      <c r="CX23" s="186"/>
      <c r="CY23" s="186"/>
      <c r="CZ23" s="186"/>
      <c r="DA23" s="186"/>
      <c r="DB23" s="66"/>
      <c r="DC23" s="66"/>
      <c r="DD23" s="66"/>
      <c r="DE23" s="66"/>
      <c r="DF23" s="66"/>
      <c r="DG23" s="66"/>
      <c r="DH23" s="66"/>
      <c r="DI23" s="66"/>
      <c r="DK23" s="68">
        <f>IF(AND(C$82="",D$82=""),"",MAX(H23:BZ39))</f>
        <v>49.429873652742309</v>
      </c>
      <c r="DL23" s="38"/>
      <c r="DM23" s="38"/>
      <c r="DN23" s="38"/>
      <c r="DO23" s="38"/>
      <c r="DP23" s="38"/>
      <c r="DQ23" s="38"/>
      <c r="DR23" s="38"/>
      <c r="DS23" s="38"/>
      <c r="DT23" s="38"/>
      <c r="DU23" s="38"/>
      <c r="DV23" s="38"/>
      <c r="DW23" s="38"/>
      <c r="DX23" s="38"/>
    </row>
    <row r="24" spans="2:128">
      <c r="B24" s="73" t="s">
        <v>217</v>
      </c>
      <c r="C24" s="88"/>
      <c r="E24" s="52"/>
      <c r="H24" s="91"/>
      <c r="I24" s="92"/>
      <c r="J24" s="92"/>
      <c r="K24" s="92"/>
      <c r="L24" s="92"/>
      <c r="M24" s="92"/>
      <c r="N24" s="92"/>
      <c r="O24" s="192"/>
      <c r="P24" s="192"/>
      <c r="Q24" s="192" t="s">
        <v>377</v>
      </c>
      <c r="R24" s="192"/>
      <c r="S24" s="192" t="s">
        <v>377</v>
      </c>
      <c r="T24" s="192"/>
      <c r="U24" s="192" t="s">
        <v>377</v>
      </c>
      <c r="V24" s="192"/>
      <c r="W24" s="192" t="s">
        <v>377</v>
      </c>
      <c r="X24" s="192"/>
      <c r="Y24" s="192" t="s">
        <v>377</v>
      </c>
      <c r="Z24" s="192"/>
      <c r="AA24" s="192" t="s">
        <v>377</v>
      </c>
      <c r="AB24" s="192"/>
      <c r="AC24" s="192" t="s">
        <v>377</v>
      </c>
      <c r="AD24" s="192"/>
      <c r="AE24" s="192" t="s">
        <v>377</v>
      </c>
      <c r="AF24" s="192"/>
      <c r="AG24" s="192"/>
      <c r="AH24" s="192"/>
      <c r="AI24" s="92"/>
      <c r="AJ24" s="92"/>
      <c r="AK24" s="92"/>
      <c r="AL24" s="92"/>
      <c r="AM24" s="92"/>
      <c r="AN24" s="92"/>
      <c r="AO24" s="93"/>
      <c r="AQ24" s="71"/>
      <c r="AR24" s="72"/>
      <c r="AS24" s="43"/>
      <c r="AT24" s="43"/>
      <c r="AU24" s="43"/>
      <c r="AV24" s="43"/>
      <c r="AW24" s="43"/>
      <c r="AX24" s="43"/>
      <c r="AY24" s="43"/>
      <c r="AZ24" s="183"/>
      <c r="BA24" s="183"/>
      <c r="BB24" s="183" t="s">
        <v>377</v>
      </c>
      <c r="BC24" s="183"/>
      <c r="BD24" s="183" t="s">
        <v>377</v>
      </c>
      <c r="BE24" s="183"/>
      <c r="BF24" s="183" t="s">
        <v>377</v>
      </c>
      <c r="BG24" s="183"/>
      <c r="BH24" s="183" t="s">
        <v>377</v>
      </c>
      <c r="BI24" s="183"/>
      <c r="BJ24" s="183" t="s">
        <v>377</v>
      </c>
      <c r="BK24" s="183"/>
      <c r="BL24" s="183" t="s">
        <v>377</v>
      </c>
      <c r="BM24" s="183"/>
      <c r="BN24" s="183" t="s">
        <v>377</v>
      </c>
      <c r="BO24" s="183"/>
      <c r="BP24" s="183" t="s">
        <v>377</v>
      </c>
      <c r="BQ24" s="183"/>
      <c r="BR24" s="183"/>
      <c r="BS24" s="183"/>
      <c r="BT24" s="43"/>
      <c r="BU24" s="43"/>
      <c r="BV24" s="43"/>
      <c r="BW24" s="43"/>
      <c r="BX24" s="43"/>
      <c r="BY24" s="43"/>
      <c r="BZ24" s="43"/>
      <c r="CB24" s="66"/>
      <c r="CC24" s="66"/>
      <c r="CD24" s="66"/>
      <c r="CE24" s="66"/>
      <c r="CF24" s="66"/>
      <c r="CG24" s="66"/>
      <c r="CH24" s="66"/>
      <c r="CI24" s="186"/>
      <c r="CJ24" s="186"/>
      <c r="CK24" s="186">
        <v>172</v>
      </c>
      <c r="CL24" s="186"/>
      <c r="CM24" s="186">
        <v>155</v>
      </c>
      <c r="CN24" s="186"/>
      <c r="CO24" s="186">
        <v>143</v>
      </c>
      <c r="CP24" s="186"/>
      <c r="CQ24" s="186">
        <v>131</v>
      </c>
      <c r="CR24" s="186"/>
      <c r="CS24" s="186">
        <v>130</v>
      </c>
      <c r="CT24" s="186"/>
      <c r="CU24" s="186">
        <v>142</v>
      </c>
      <c r="CV24" s="186"/>
      <c r="CW24" s="186">
        <v>154</v>
      </c>
      <c r="CX24" s="186"/>
      <c r="CY24" s="186">
        <v>171</v>
      </c>
      <c r="CZ24" s="186"/>
      <c r="DA24" s="186"/>
      <c r="DB24" s="186"/>
      <c r="DC24" s="66"/>
      <c r="DD24" s="66"/>
      <c r="DE24" s="66"/>
      <c r="DF24" s="66"/>
      <c r="DG24" s="66"/>
      <c r="DH24" s="66"/>
      <c r="DI24" s="66"/>
      <c r="DK24" s="68">
        <f t="shared" ref="DK24:DK39" si="0">IF(AND(C$82="",D$82=""),"",DK23-(DK$23-MIN(H$23:BZ$39))/16)</f>
        <v>48.665339063175054</v>
      </c>
      <c r="DL24" s="38"/>
      <c r="DM24" s="38"/>
      <c r="DN24" s="38"/>
      <c r="DO24" s="38"/>
      <c r="DP24" s="38"/>
      <c r="DQ24" s="38"/>
      <c r="DR24" s="38"/>
      <c r="DS24" s="38"/>
      <c r="DT24" s="38"/>
      <c r="DU24" s="38"/>
      <c r="DV24" s="38"/>
      <c r="DW24" s="38"/>
      <c r="DX24" s="38"/>
    </row>
    <row r="25" spans="2:128" ht="15" customHeight="1">
      <c r="B25" s="73" t="s">
        <v>237</v>
      </c>
      <c r="C25" s="104">
        <v>25</v>
      </c>
      <c r="H25" s="91"/>
      <c r="I25" s="92"/>
      <c r="J25" s="92"/>
      <c r="K25" s="92"/>
      <c r="L25" s="92"/>
      <c r="M25" s="92"/>
      <c r="N25" s="192" t="s">
        <v>377</v>
      </c>
      <c r="O25" s="192"/>
      <c r="P25" s="192" t="s">
        <v>377</v>
      </c>
      <c r="Q25" s="192"/>
      <c r="R25" s="192" t="s">
        <v>377</v>
      </c>
      <c r="S25" s="192"/>
      <c r="T25" s="192" t="s">
        <v>377</v>
      </c>
      <c r="U25" s="192"/>
      <c r="V25" s="192" t="s">
        <v>377</v>
      </c>
      <c r="W25" s="192"/>
      <c r="X25" s="192" t="s">
        <v>377</v>
      </c>
      <c r="Y25" s="192"/>
      <c r="Z25" s="192" t="s">
        <v>377</v>
      </c>
      <c r="AA25" s="192"/>
      <c r="AB25" s="192" t="s">
        <v>377</v>
      </c>
      <c r="AC25" s="192"/>
      <c r="AD25" s="192" t="s">
        <v>377</v>
      </c>
      <c r="AE25" s="192"/>
      <c r="AF25" s="192" t="s">
        <v>377</v>
      </c>
      <c r="AG25" s="192"/>
      <c r="AH25" s="192" t="s">
        <v>377</v>
      </c>
      <c r="AI25" s="192"/>
      <c r="AJ25" s="92"/>
      <c r="AK25" s="92"/>
      <c r="AL25" s="92"/>
      <c r="AM25" s="92"/>
      <c r="AN25" s="92"/>
      <c r="AO25" s="93"/>
      <c r="AS25" s="43"/>
      <c r="AT25" s="43"/>
      <c r="AU25" s="43"/>
      <c r="AV25" s="43"/>
      <c r="AW25" s="43"/>
      <c r="AX25" s="43"/>
      <c r="AY25" s="183" t="s">
        <v>377</v>
      </c>
      <c r="AZ25" s="183"/>
      <c r="BA25" s="183" t="s">
        <v>377</v>
      </c>
      <c r="BB25" s="183"/>
      <c r="BC25" s="183" t="s">
        <v>377</v>
      </c>
      <c r="BD25" s="183"/>
      <c r="BE25" s="183" t="s">
        <v>377</v>
      </c>
      <c r="BF25" s="183"/>
      <c r="BG25" s="183" t="s">
        <v>377</v>
      </c>
      <c r="BH25" s="183"/>
      <c r="BI25" s="183" t="s">
        <v>377</v>
      </c>
      <c r="BJ25" s="183"/>
      <c r="BK25" s="183" t="s">
        <v>377</v>
      </c>
      <c r="BL25" s="183"/>
      <c r="BM25" s="183" t="s">
        <v>377</v>
      </c>
      <c r="BN25" s="183"/>
      <c r="BO25" s="183" t="s">
        <v>377</v>
      </c>
      <c r="BP25" s="183"/>
      <c r="BQ25" s="183" t="s">
        <v>377</v>
      </c>
      <c r="BR25" s="183"/>
      <c r="BS25" s="183" t="s">
        <v>377</v>
      </c>
      <c r="BT25" s="183"/>
      <c r="BU25" s="43"/>
      <c r="BV25" s="43"/>
      <c r="BW25" s="43"/>
      <c r="BX25" s="43"/>
      <c r="BY25" s="43"/>
      <c r="BZ25" s="43"/>
      <c r="CB25" s="66"/>
      <c r="CC25" s="66"/>
      <c r="CD25" s="66"/>
      <c r="CE25" s="66"/>
      <c r="CF25" s="66"/>
      <c r="CG25" s="66"/>
      <c r="CH25" s="186">
        <v>192</v>
      </c>
      <c r="CI25" s="186"/>
      <c r="CJ25" s="186">
        <v>156</v>
      </c>
      <c r="CK25" s="186"/>
      <c r="CL25" s="186">
        <v>109</v>
      </c>
      <c r="CM25" s="186"/>
      <c r="CN25" s="186">
        <v>108</v>
      </c>
      <c r="CO25" s="186"/>
      <c r="CP25" s="186">
        <v>107</v>
      </c>
      <c r="CQ25" s="186"/>
      <c r="CR25" s="186">
        <v>106</v>
      </c>
      <c r="CS25" s="186"/>
      <c r="CT25" s="186">
        <v>105</v>
      </c>
      <c r="CU25" s="186"/>
      <c r="CV25" s="186">
        <v>104</v>
      </c>
      <c r="CW25" s="186"/>
      <c r="CX25" s="186">
        <v>103</v>
      </c>
      <c r="CY25" s="186"/>
      <c r="CZ25" s="186">
        <v>153</v>
      </c>
      <c r="DA25" s="186"/>
      <c r="DB25" s="186">
        <v>189</v>
      </c>
      <c r="DC25" s="186"/>
      <c r="DD25" s="66"/>
      <c r="DE25" s="66"/>
      <c r="DF25" s="66"/>
      <c r="DG25" s="66"/>
      <c r="DH25" s="66"/>
      <c r="DI25" s="66"/>
      <c r="DK25" s="68">
        <f t="shared" si="0"/>
        <v>47.900804473607799</v>
      </c>
      <c r="DL25" s="38"/>
      <c r="DM25" s="38"/>
      <c r="DN25" s="38"/>
      <c r="DO25" s="38"/>
      <c r="DP25" s="38"/>
      <c r="DQ25" s="38"/>
      <c r="DR25" s="38"/>
      <c r="DS25" s="38"/>
      <c r="DT25" s="38"/>
      <c r="DU25" s="38"/>
      <c r="DV25" s="38"/>
      <c r="DW25" s="38"/>
      <c r="DX25" s="38"/>
    </row>
    <row r="26" spans="2:128">
      <c r="B26" s="73" t="s">
        <v>217</v>
      </c>
      <c r="C26" s="88"/>
      <c r="H26" s="91"/>
      <c r="I26" s="92"/>
      <c r="J26" s="92"/>
      <c r="K26" s="92"/>
      <c r="L26" s="92"/>
      <c r="M26" s="192" t="s">
        <v>377</v>
      </c>
      <c r="N26" s="192"/>
      <c r="O26" s="192" t="s">
        <v>377</v>
      </c>
      <c r="P26" s="192"/>
      <c r="Q26" s="192" t="s">
        <v>377</v>
      </c>
      <c r="R26" s="192"/>
      <c r="S26" s="192" t="s">
        <v>377</v>
      </c>
      <c r="T26" s="192"/>
      <c r="U26" s="192" t="s">
        <v>377</v>
      </c>
      <c r="V26" s="192"/>
      <c r="W26" s="192" t="s">
        <v>377</v>
      </c>
      <c r="X26" s="192"/>
      <c r="Y26" s="192" t="s">
        <v>377</v>
      </c>
      <c r="Z26" s="192"/>
      <c r="AA26" s="192" t="s">
        <v>377</v>
      </c>
      <c r="AB26" s="192"/>
      <c r="AC26" s="192" t="s">
        <v>377</v>
      </c>
      <c r="AD26" s="192"/>
      <c r="AE26" s="192" t="s">
        <v>377</v>
      </c>
      <c r="AF26" s="192"/>
      <c r="AG26" s="192" t="s">
        <v>377</v>
      </c>
      <c r="AH26" s="192"/>
      <c r="AI26" s="192" t="s">
        <v>377</v>
      </c>
      <c r="AJ26" s="192"/>
      <c r="AK26" s="92"/>
      <c r="AL26" s="92"/>
      <c r="AM26" s="92"/>
      <c r="AN26" s="92"/>
      <c r="AO26" s="93"/>
      <c r="AR26" s="72">
        <f>MAX(C83:D83)-10</f>
        <v>39.429873652742309</v>
      </c>
      <c r="AS26" s="43"/>
      <c r="AT26" s="43"/>
      <c r="AU26" s="43"/>
      <c r="AV26" s="43"/>
      <c r="AW26" s="43"/>
      <c r="AX26" s="183" t="s">
        <v>377</v>
      </c>
      <c r="AY26" s="183"/>
      <c r="AZ26" s="183" t="s">
        <v>377</v>
      </c>
      <c r="BA26" s="183"/>
      <c r="BB26" s="183" t="s">
        <v>377</v>
      </c>
      <c r="BC26" s="183"/>
      <c r="BD26" s="183" t="s">
        <v>377</v>
      </c>
      <c r="BE26" s="183"/>
      <c r="BF26" s="183" t="s">
        <v>377</v>
      </c>
      <c r="BG26" s="183"/>
      <c r="BH26" s="183" t="s">
        <v>377</v>
      </c>
      <c r="BI26" s="183"/>
      <c r="BJ26" s="183" t="s">
        <v>377</v>
      </c>
      <c r="BK26" s="183"/>
      <c r="BL26" s="183" t="s">
        <v>377</v>
      </c>
      <c r="BM26" s="183"/>
      <c r="BN26" s="183" t="s">
        <v>377</v>
      </c>
      <c r="BO26" s="183"/>
      <c r="BP26" s="183" t="s">
        <v>377</v>
      </c>
      <c r="BQ26" s="183"/>
      <c r="BR26" s="183" t="s">
        <v>377</v>
      </c>
      <c r="BS26" s="183"/>
      <c r="BT26" s="183" t="s">
        <v>377</v>
      </c>
      <c r="BU26" s="183"/>
      <c r="BV26" s="43"/>
      <c r="BW26" s="43"/>
      <c r="BX26" s="43"/>
      <c r="BY26" s="43"/>
      <c r="BZ26" s="43"/>
      <c r="CB26" s="66"/>
      <c r="CC26" s="66"/>
      <c r="CD26" s="66"/>
      <c r="CE26" s="66"/>
      <c r="CF26" s="66"/>
      <c r="CG26" s="186">
        <v>180</v>
      </c>
      <c r="CH26" s="186"/>
      <c r="CI26" s="186">
        <v>144</v>
      </c>
      <c r="CJ26" s="186"/>
      <c r="CK26" s="186">
        <v>110</v>
      </c>
      <c r="CL26" s="186"/>
      <c r="CM26" s="186">
        <v>76</v>
      </c>
      <c r="CN26" s="186"/>
      <c r="CO26" s="186">
        <v>75</v>
      </c>
      <c r="CP26" s="186"/>
      <c r="CQ26" s="186">
        <v>74</v>
      </c>
      <c r="CR26" s="186"/>
      <c r="CS26" s="186">
        <v>73</v>
      </c>
      <c r="CT26" s="186"/>
      <c r="CU26" s="186">
        <v>72</v>
      </c>
      <c r="CV26" s="186"/>
      <c r="CW26" s="186">
        <v>71</v>
      </c>
      <c r="CX26" s="186"/>
      <c r="CY26" s="186">
        <v>102</v>
      </c>
      <c r="CZ26" s="186"/>
      <c r="DA26" s="186">
        <v>141</v>
      </c>
      <c r="DB26" s="186"/>
      <c r="DC26" s="186">
        <v>177</v>
      </c>
      <c r="DD26" s="186"/>
      <c r="DE26" s="66"/>
      <c r="DF26" s="66"/>
      <c r="DG26" s="66"/>
      <c r="DH26" s="66"/>
      <c r="DI26" s="66"/>
      <c r="DK26" s="68">
        <f t="shared" si="0"/>
        <v>47.136269884040544</v>
      </c>
      <c r="DL26" s="38"/>
      <c r="DM26" s="38"/>
      <c r="DN26" s="38"/>
      <c r="DO26" s="38"/>
      <c r="DP26" s="38"/>
      <c r="DQ26" s="38"/>
      <c r="DR26" s="38"/>
      <c r="DS26" s="38"/>
      <c r="DT26" s="38"/>
      <c r="DU26" s="38"/>
      <c r="DV26" s="38"/>
      <c r="DW26" s="38"/>
      <c r="DX26" s="38"/>
    </row>
    <row r="27" spans="2:128">
      <c r="E27" s="52"/>
      <c r="H27" s="91"/>
      <c r="I27" s="92"/>
      <c r="J27" s="92"/>
      <c r="K27" s="92"/>
      <c r="L27" s="192" t="s">
        <v>377</v>
      </c>
      <c r="M27" s="192"/>
      <c r="N27" s="192" t="s">
        <v>377</v>
      </c>
      <c r="O27" s="192"/>
      <c r="P27" s="192" t="s">
        <v>377</v>
      </c>
      <c r="Q27" s="192"/>
      <c r="R27" s="192" t="s">
        <v>377</v>
      </c>
      <c r="S27" s="192"/>
      <c r="T27" s="192" t="s">
        <v>377</v>
      </c>
      <c r="U27" s="192"/>
      <c r="V27" s="192" t="s">
        <v>377</v>
      </c>
      <c r="W27" s="192"/>
      <c r="X27" s="192" t="s">
        <v>377</v>
      </c>
      <c r="Y27" s="192"/>
      <c r="Z27" s="192" t="s">
        <v>377</v>
      </c>
      <c r="AA27" s="192"/>
      <c r="AB27" s="192" t="s">
        <v>377</v>
      </c>
      <c r="AC27" s="192"/>
      <c r="AD27" s="192" t="s">
        <v>377</v>
      </c>
      <c r="AE27" s="192"/>
      <c r="AF27" s="192" t="s">
        <v>377</v>
      </c>
      <c r="AG27" s="192"/>
      <c r="AH27" s="192" t="s">
        <v>377</v>
      </c>
      <c r="AI27" s="192"/>
      <c r="AJ27" s="192" t="s">
        <v>377</v>
      </c>
      <c r="AK27" s="192"/>
      <c r="AL27" s="92"/>
      <c r="AM27" s="92"/>
      <c r="AN27" s="92"/>
      <c r="AO27" s="93"/>
      <c r="AS27" s="43"/>
      <c r="AT27" s="43"/>
      <c r="AU27" s="43"/>
      <c r="AV27" s="43"/>
      <c r="AW27" s="183" t="s">
        <v>377</v>
      </c>
      <c r="AX27" s="183"/>
      <c r="AY27" s="183" t="s">
        <v>377</v>
      </c>
      <c r="AZ27" s="183"/>
      <c r="BA27" s="183" t="s">
        <v>377</v>
      </c>
      <c r="BB27" s="183"/>
      <c r="BC27" s="183" t="s">
        <v>377</v>
      </c>
      <c r="BD27" s="183"/>
      <c r="BE27" s="183" t="s">
        <v>377</v>
      </c>
      <c r="BF27" s="183"/>
      <c r="BG27" s="183" t="s">
        <v>377</v>
      </c>
      <c r="BH27" s="183"/>
      <c r="BI27" s="183" t="s">
        <v>377</v>
      </c>
      <c r="BJ27" s="183"/>
      <c r="BK27" s="183" t="s">
        <v>377</v>
      </c>
      <c r="BL27" s="183"/>
      <c r="BM27" s="183" t="s">
        <v>377</v>
      </c>
      <c r="BN27" s="183"/>
      <c r="BO27" s="183" t="s">
        <v>377</v>
      </c>
      <c r="BP27" s="183"/>
      <c r="BQ27" s="183" t="s">
        <v>377</v>
      </c>
      <c r="BR27" s="183"/>
      <c r="BS27" s="183" t="s">
        <v>377</v>
      </c>
      <c r="BT27" s="183"/>
      <c r="BU27" s="183" t="s">
        <v>377</v>
      </c>
      <c r="BV27" s="183"/>
      <c r="BW27" s="43"/>
      <c r="BX27" s="43"/>
      <c r="BY27" s="43"/>
      <c r="BZ27" s="43"/>
      <c r="CB27" s="66"/>
      <c r="CC27" s="66"/>
      <c r="CD27" s="66"/>
      <c r="CE27" s="66"/>
      <c r="CF27" s="186">
        <v>166</v>
      </c>
      <c r="CG27" s="186"/>
      <c r="CH27" s="186">
        <v>132</v>
      </c>
      <c r="CI27" s="186"/>
      <c r="CJ27" s="186">
        <v>111</v>
      </c>
      <c r="CK27" s="186"/>
      <c r="CL27" s="186">
        <v>77</v>
      </c>
      <c r="CM27" s="186"/>
      <c r="CN27" s="186">
        <v>49</v>
      </c>
      <c r="CO27" s="186"/>
      <c r="CP27" s="186">
        <v>48</v>
      </c>
      <c r="CQ27" s="186"/>
      <c r="CR27" s="186">
        <v>47</v>
      </c>
      <c r="CS27" s="186"/>
      <c r="CT27" s="186">
        <v>46</v>
      </c>
      <c r="CU27" s="186"/>
      <c r="CV27" s="186">
        <v>45</v>
      </c>
      <c r="CW27" s="186"/>
      <c r="CX27" s="186">
        <v>70</v>
      </c>
      <c r="CY27" s="186"/>
      <c r="CZ27" s="186">
        <v>101</v>
      </c>
      <c r="DA27" s="186"/>
      <c r="DB27" s="186">
        <v>129</v>
      </c>
      <c r="DC27" s="186"/>
      <c r="DD27" s="186">
        <v>164</v>
      </c>
      <c r="DE27" s="186"/>
      <c r="DF27" s="66"/>
      <c r="DG27" s="66"/>
      <c r="DH27" s="66"/>
      <c r="DI27" s="66"/>
      <c r="DK27" s="68">
        <f t="shared" si="0"/>
        <v>46.371735294473289</v>
      </c>
      <c r="DL27" s="38"/>
      <c r="DM27" s="38"/>
      <c r="DN27" s="38"/>
      <c r="DO27" s="38"/>
      <c r="DP27" s="38"/>
      <c r="DQ27" s="38"/>
      <c r="DR27" s="38"/>
      <c r="DS27" s="38"/>
      <c r="DT27" s="38"/>
      <c r="DU27" s="38"/>
      <c r="DV27" s="38"/>
      <c r="DW27" s="38"/>
      <c r="DX27" s="38"/>
    </row>
    <row r="28" spans="2:128" ht="15" customHeight="1">
      <c r="B28" s="184" t="s">
        <v>250</v>
      </c>
      <c r="C28" s="184"/>
      <c r="H28" s="91"/>
      <c r="I28" s="92"/>
      <c r="J28" s="92"/>
      <c r="K28" s="192" t="s">
        <v>377</v>
      </c>
      <c r="L28" s="192"/>
      <c r="M28" s="192" t="s">
        <v>377</v>
      </c>
      <c r="N28" s="192"/>
      <c r="O28" s="192" t="s">
        <v>377</v>
      </c>
      <c r="P28" s="192"/>
      <c r="Q28" s="192" t="s">
        <v>377</v>
      </c>
      <c r="R28" s="192"/>
      <c r="S28" s="192" t="s">
        <v>377</v>
      </c>
      <c r="T28" s="192"/>
      <c r="U28" s="192" t="s">
        <v>377</v>
      </c>
      <c r="V28" s="192"/>
      <c r="W28" s="192" t="s">
        <v>377</v>
      </c>
      <c r="X28" s="192"/>
      <c r="Y28" s="192" t="s">
        <v>377</v>
      </c>
      <c r="Z28" s="192"/>
      <c r="AA28" s="192" t="s">
        <v>377</v>
      </c>
      <c r="AB28" s="192"/>
      <c r="AC28" s="192" t="s">
        <v>377</v>
      </c>
      <c r="AD28" s="192"/>
      <c r="AE28" s="192" t="s">
        <v>377</v>
      </c>
      <c r="AF28" s="192"/>
      <c r="AG28" s="192" t="s">
        <v>377</v>
      </c>
      <c r="AH28" s="192"/>
      <c r="AI28" s="192" t="s">
        <v>377</v>
      </c>
      <c r="AJ28" s="192"/>
      <c r="AK28" s="192" t="s">
        <v>377</v>
      </c>
      <c r="AL28" s="192"/>
      <c r="AM28" s="92"/>
      <c r="AN28" s="92"/>
      <c r="AO28" s="93"/>
      <c r="AS28" s="43"/>
      <c r="AT28" s="43"/>
      <c r="AU28" s="43"/>
      <c r="AV28" s="183" t="s">
        <v>377</v>
      </c>
      <c r="AW28" s="183"/>
      <c r="AX28" s="183" t="s">
        <v>377</v>
      </c>
      <c r="AY28" s="183"/>
      <c r="AZ28" s="183" t="s">
        <v>377</v>
      </c>
      <c r="BA28" s="183"/>
      <c r="BB28" s="183" t="s">
        <v>377</v>
      </c>
      <c r="BC28" s="183"/>
      <c r="BD28" s="183" t="s">
        <v>377</v>
      </c>
      <c r="BE28" s="183"/>
      <c r="BF28" s="183" t="s">
        <v>377</v>
      </c>
      <c r="BG28" s="183"/>
      <c r="BH28" s="183" t="s">
        <v>377</v>
      </c>
      <c r="BI28" s="183"/>
      <c r="BJ28" s="183" t="s">
        <v>377</v>
      </c>
      <c r="BK28" s="183"/>
      <c r="BL28" s="183" t="s">
        <v>377</v>
      </c>
      <c r="BM28" s="183"/>
      <c r="BN28" s="183" t="s">
        <v>377</v>
      </c>
      <c r="BO28" s="183"/>
      <c r="BP28" s="183" t="s">
        <v>377</v>
      </c>
      <c r="BQ28" s="183"/>
      <c r="BR28" s="183" t="s">
        <v>377</v>
      </c>
      <c r="BS28" s="183"/>
      <c r="BT28" s="183" t="s">
        <v>377</v>
      </c>
      <c r="BU28" s="183"/>
      <c r="BV28" s="183" t="s">
        <v>377</v>
      </c>
      <c r="BW28" s="183"/>
      <c r="BX28" s="43"/>
      <c r="BY28" s="43"/>
      <c r="BZ28" s="43"/>
      <c r="CB28" s="66"/>
      <c r="CC28" s="66"/>
      <c r="CD28" s="66"/>
      <c r="CE28" s="186">
        <v>181</v>
      </c>
      <c r="CF28" s="186"/>
      <c r="CG28" s="186">
        <v>133</v>
      </c>
      <c r="CH28" s="186"/>
      <c r="CI28" s="186">
        <v>112</v>
      </c>
      <c r="CJ28" s="186"/>
      <c r="CK28" s="186">
        <v>78</v>
      </c>
      <c r="CL28" s="186"/>
      <c r="CM28" s="186">
        <v>50</v>
      </c>
      <c r="CN28" s="186"/>
      <c r="CO28" s="186">
        <v>28</v>
      </c>
      <c r="CP28" s="186"/>
      <c r="CQ28" s="186">
        <v>27</v>
      </c>
      <c r="CR28" s="186"/>
      <c r="CS28" s="186">
        <v>26</v>
      </c>
      <c r="CT28" s="186"/>
      <c r="CU28" s="186">
        <v>25</v>
      </c>
      <c r="CV28" s="186"/>
      <c r="CW28" s="186">
        <v>44</v>
      </c>
      <c r="CX28" s="186"/>
      <c r="CY28" s="186">
        <v>69</v>
      </c>
      <c r="CZ28" s="186"/>
      <c r="DA28" s="186">
        <v>100</v>
      </c>
      <c r="DB28" s="186"/>
      <c r="DC28" s="186">
        <v>128</v>
      </c>
      <c r="DD28" s="186"/>
      <c r="DE28" s="186">
        <v>176</v>
      </c>
      <c r="DF28" s="186"/>
      <c r="DG28" s="66"/>
      <c r="DH28" s="66"/>
      <c r="DI28" s="66"/>
      <c r="DK28" s="68">
        <f t="shared" si="0"/>
        <v>45.607200704906035</v>
      </c>
      <c r="DL28" s="38"/>
      <c r="DM28" s="38"/>
      <c r="DN28" s="38"/>
      <c r="DO28" s="38"/>
      <c r="DP28" s="38"/>
      <c r="DQ28" s="38"/>
      <c r="DR28" s="38"/>
      <c r="DS28" s="38"/>
      <c r="DT28" s="38"/>
      <c r="DU28" s="38"/>
      <c r="DV28" s="38"/>
      <c r="DW28" s="38"/>
      <c r="DX28" s="38"/>
    </row>
    <row r="29" spans="2:128">
      <c r="B29" s="73" t="s">
        <v>234</v>
      </c>
      <c r="C29" s="102" t="s">
        <v>148</v>
      </c>
      <c r="E29" s="52" t="str">
        <f>IF(IF(C82="",1,IF(C82&gt;15.05,0,1))*IF(D82="",1,IF(D82&gt;15.05,0,1))=1,"","→ it is recommended not to exceed 15°C Δ temp")</f>
        <v/>
      </c>
      <c r="H29" s="91"/>
      <c r="I29" s="92"/>
      <c r="J29" s="192" t="s">
        <v>377</v>
      </c>
      <c r="K29" s="192"/>
      <c r="L29" s="192" t="s">
        <v>377</v>
      </c>
      <c r="M29" s="192"/>
      <c r="N29" s="192" t="s">
        <v>377</v>
      </c>
      <c r="O29" s="192"/>
      <c r="P29" s="192" t="s">
        <v>377</v>
      </c>
      <c r="Q29" s="192"/>
      <c r="R29" s="192" t="s">
        <v>377</v>
      </c>
      <c r="S29" s="192"/>
      <c r="T29" s="192" t="s">
        <v>377</v>
      </c>
      <c r="U29" s="192"/>
      <c r="V29" s="192">
        <v>37.737650661235271</v>
      </c>
      <c r="W29" s="192"/>
      <c r="X29" s="192">
        <v>37.737650661235271</v>
      </c>
      <c r="Y29" s="192"/>
      <c r="Z29" s="192">
        <v>37.737650661235271</v>
      </c>
      <c r="AA29" s="192"/>
      <c r="AB29" s="192">
        <v>37.197320219666196</v>
      </c>
      <c r="AC29" s="192"/>
      <c r="AD29" s="192" t="s">
        <v>377</v>
      </c>
      <c r="AE29" s="192"/>
      <c r="AF29" s="192" t="s">
        <v>377</v>
      </c>
      <c r="AG29" s="192"/>
      <c r="AH29" s="192" t="s">
        <v>377</v>
      </c>
      <c r="AI29" s="192"/>
      <c r="AJ29" s="192" t="s">
        <v>377</v>
      </c>
      <c r="AK29" s="192"/>
      <c r="AL29" s="192" t="s">
        <v>377</v>
      </c>
      <c r="AM29" s="192"/>
      <c r="AN29" s="92"/>
      <c r="AO29" s="93"/>
      <c r="AS29" s="43"/>
      <c r="AT29" s="43"/>
      <c r="AU29" s="183" t="s">
        <v>377</v>
      </c>
      <c r="AV29" s="183"/>
      <c r="AW29" s="183" t="s">
        <v>377</v>
      </c>
      <c r="AX29" s="183"/>
      <c r="AY29" s="183" t="s">
        <v>377</v>
      </c>
      <c r="AZ29" s="183"/>
      <c r="BA29" s="183" t="s">
        <v>377</v>
      </c>
      <c r="BB29" s="183"/>
      <c r="BC29" s="183" t="s">
        <v>377</v>
      </c>
      <c r="BD29" s="183"/>
      <c r="BE29" s="183" t="s">
        <v>377</v>
      </c>
      <c r="BF29" s="183"/>
      <c r="BG29" s="183">
        <v>48.092129879061204</v>
      </c>
      <c r="BH29" s="183"/>
      <c r="BI29" s="183">
        <v>48.092129879061204</v>
      </c>
      <c r="BJ29" s="183"/>
      <c r="BK29" s="183">
        <v>48.092129879061204</v>
      </c>
      <c r="BL29" s="183"/>
      <c r="BM29" s="183">
        <v>46.308471514153069</v>
      </c>
      <c r="BN29" s="183"/>
      <c r="BO29" s="183" t="s">
        <v>377</v>
      </c>
      <c r="BP29" s="183"/>
      <c r="BQ29" s="183" t="s">
        <v>377</v>
      </c>
      <c r="BR29" s="183"/>
      <c r="BS29" s="183" t="s">
        <v>377</v>
      </c>
      <c r="BT29" s="183"/>
      <c r="BU29" s="183" t="s">
        <v>377</v>
      </c>
      <c r="BV29" s="183"/>
      <c r="BW29" s="183" t="s">
        <v>377</v>
      </c>
      <c r="BX29" s="183"/>
      <c r="BY29" s="43"/>
      <c r="BZ29" s="43"/>
      <c r="CB29" s="66"/>
      <c r="CC29" s="66"/>
      <c r="CD29" s="186">
        <v>193</v>
      </c>
      <c r="CE29" s="186"/>
      <c r="CF29" s="186">
        <v>145</v>
      </c>
      <c r="CG29" s="186"/>
      <c r="CH29" s="186">
        <v>113</v>
      </c>
      <c r="CI29" s="186"/>
      <c r="CJ29" s="186">
        <v>79</v>
      </c>
      <c r="CK29" s="186"/>
      <c r="CL29" s="186">
        <v>51</v>
      </c>
      <c r="CM29" s="186"/>
      <c r="CN29" s="186">
        <v>29</v>
      </c>
      <c r="CO29" s="186"/>
      <c r="CP29" s="186">
        <v>13</v>
      </c>
      <c r="CQ29" s="186"/>
      <c r="CR29" s="186">
        <v>12</v>
      </c>
      <c r="CS29" s="186"/>
      <c r="CT29" s="186">
        <v>11</v>
      </c>
      <c r="CU29" s="186"/>
      <c r="CV29" s="186">
        <v>24</v>
      </c>
      <c r="CW29" s="186"/>
      <c r="CX29" s="186">
        <v>43</v>
      </c>
      <c r="CY29" s="186"/>
      <c r="CZ29" s="186">
        <v>68</v>
      </c>
      <c r="DA29" s="186"/>
      <c r="DB29" s="186">
        <v>99</v>
      </c>
      <c r="DC29" s="186"/>
      <c r="DD29" s="186">
        <v>140</v>
      </c>
      <c r="DE29" s="186"/>
      <c r="DF29" s="186">
        <v>188</v>
      </c>
      <c r="DG29" s="186"/>
      <c r="DH29" s="66"/>
      <c r="DI29" s="66"/>
      <c r="DK29" s="68">
        <f t="shared" si="0"/>
        <v>44.84266611533878</v>
      </c>
      <c r="DL29" s="38"/>
      <c r="DM29" s="38"/>
      <c r="DN29" s="38"/>
      <c r="DO29" s="38"/>
      <c r="DP29" s="38"/>
      <c r="DQ29" s="38"/>
      <c r="DR29" s="38"/>
      <c r="DS29" s="38"/>
      <c r="DT29" s="38"/>
      <c r="DU29" s="38"/>
      <c r="DV29" s="38"/>
      <c r="DW29" s="38"/>
      <c r="DX29" s="38"/>
    </row>
    <row r="30" spans="2:128">
      <c r="B30" s="73" t="s">
        <v>235</v>
      </c>
      <c r="C30" s="102" t="s">
        <v>156</v>
      </c>
      <c r="E30" s="52" t="str">
        <f>IF(IF(C83="",1,IF(C83&gt;60.05,0,1))*IF(D83="",1,IF(D83&gt;60.05,0,1))=1,"","→ cable temp must not exceed 60°C")</f>
        <v/>
      </c>
      <c r="H30" s="91"/>
      <c r="I30" s="192"/>
      <c r="J30" s="192"/>
      <c r="K30" s="192" t="s">
        <v>377</v>
      </c>
      <c r="L30" s="192"/>
      <c r="M30" s="192" t="s">
        <v>377</v>
      </c>
      <c r="N30" s="192"/>
      <c r="O30" s="192" t="s">
        <v>377</v>
      </c>
      <c r="P30" s="192"/>
      <c r="Q30" s="192" t="s">
        <v>377</v>
      </c>
      <c r="R30" s="192"/>
      <c r="S30" s="192" t="s">
        <v>377</v>
      </c>
      <c r="T30" s="192"/>
      <c r="U30" s="192">
        <v>37.602568050843004</v>
      </c>
      <c r="V30" s="192"/>
      <c r="W30" s="192">
        <v>38.007815882019806</v>
      </c>
      <c r="X30" s="192"/>
      <c r="Y30" s="192">
        <v>38.007815882019806</v>
      </c>
      <c r="Z30" s="192"/>
      <c r="AA30" s="192">
        <v>37.737650661235271</v>
      </c>
      <c r="AB30" s="192"/>
      <c r="AC30" s="192">
        <v>37.197320219666196</v>
      </c>
      <c r="AD30" s="192"/>
      <c r="AE30" s="192" t="s">
        <v>377</v>
      </c>
      <c r="AF30" s="192"/>
      <c r="AG30" s="192" t="s">
        <v>377</v>
      </c>
      <c r="AH30" s="192"/>
      <c r="AI30" s="192" t="s">
        <v>377</v>
      </c>
      <c r="AJ30" s="192"/>
      <c r="AK30" s="192" t="s">
        <v>377</v>
      </c>
      <c r="AL30" s="192"/>
      <c r="AM30" s="192"/>
      <c r="AN30" s="192"/>
      <c r="AO30" s="93"/>
      <c r="AS30" s="43"/>
      <c r="AT30" s="183"/>
      <c r="AU30" s="183"/>
      <c r="AV30" s="183" t="s">
        <v>377</v>
      </c>
      <c r="AW30" s="183"/>
      <c r="AX30" s="183" t="s">
        <v>377</v>
      </c>
      <c r="AY30" s="183"/>
      <c r="AZ30" s="183" t="s">
        <v>377</v>
      </c>
      <c r="BA30" s="183"/>
      <c r="BB30" s="183" t="s">
        <v>377</v>
      </c>
      <c r="BC30" s="183"/>
      <c r="BD30" s="183" t="s">
        <v>377</v>
      </c>
      <c r="BE30" s="183"/>
      <c r="BF30" s="183">
        <v>47.646215287834167</v>
      </c>
      <c r="BG30" s="183"/>
      <c r="BH30" s="183">
        <v>48.983959061515279</v>
      </c>
      <c r="BI30" s="183"/>
      <c r="BJ30" s="183">
        <v>48.983959061515279</v>
      </c>
      <c r="BK30" s="183"/>
      <c r="BL30" s="183">
        <v>48.092129879061204</v>
      </c>
      <c r="BM30" s="183"/>
      <c r="BN30" s="183">
        <v>46.308471514153069</v>
      </c>
      <c r="BO30" s="183"/>
      <c r="BP30" s="183" t="s">
        <v>377</v>
      </c>
      <c r="BQ30" s="183"/>
      <c r="BR30" s="183" t="s">
        <v>377</v>
      </c>
      <c r="BS30" s="183"/>
      <c r="BT30" s="183" t="s">
        <v>377</v>
      </c>
      <c r="BU30" s="183"/>
      <c r="BV30" s="183" t="s">
        <v>377</v>
      </c>
      <c r="BW30" s="183"/>
      <c r="BX30" s="183"/>
      <c r="BY30" s="183"/>
      <c r="BZ30" s="43"/>
      <c r="CB30" s="66"/>
      <c r="CC30" s="186"/>
      <c r="CD30" s="186"/>
      <c r="CE30" s="186">
        <v>157</v>
      </c>
      <c r="CF30" s="186"/>
      <c r="CG30" s="186">
        <v>114</v>
      </c>
      <c r="CH30" s="186"/>
      <c r="CI30" s="186">
        <v>80</v>
      </c>
      <c r="CJ30" s="186"/>
      <c r="CK30" s="186">
        <v>52</v>
      </c>
      <c r="CL30" s="186"/>
      <c r="CM30" s="186">
        <v>30</v>
      </c>
      <c r="CN30" s="186"/>
      <c r="CO30" s="186">
        <v>14</v>
      </c>
      <c r="CP30" s="186"/>
      <c r="CQ30" s="186">
        <v>4</v>
      </c>
      <c r="CR30" s="186"/>
      <c r="CS30" s="186">
        <v>3</v>
      </c>
      <c r="CT30" s="186"/>
      <c r="CU30" s="186">
        <v>10</v>
      </c>
      <c r="CV30" s="186"/>
      <c r="CW30" s="186">
        <v>23</v>
      </c>
      <c r="CX30" s="186"/>
      <c r="CY30" s="186">
        <v>42</v>
      </c>
      <c r="CZ30" s="186"/>
      <c r="DA30" s="186">
        <v>67</v>
      </c>
      <c r="DB30" s="186"/>
      <c r="DC30" s="186">
        <v>98</v>
      </c>
      <c r="DD30" s="186"/>
      <c r="DE30" s="186">
        <v>152</v>
      </c>
      <c r="DF30" s="186"/>
      <c r="DG30" s="186"/>
      <c r="DH30" s="186"/>
      <c r="DI30" s="66"/>
      <c r="DK30" s="68">
        <f t="shared" si="0"/>
        <v>44.078131525771525</v>
      </c>
      <c r="DL30" s="38"/>
      <c r="DM30" s="38"/>
      <c r="DN30" s="38"/>
      <c r="DO30" s="38"/>
      <c r="DP30" s="38"/>
      <c r="DQ30" s="38"/>
      <c r="DR30" s="38"/>
      <c r="DS30" s="38"/>
      <c r="DT30" s="38"/>
      <c r="DU30" s="38"/>
      <c r="DV30" s="38"/>
      <c r="DW30" s="38"/>
      <c r="DX30" s="38"/>
    </row>
    <row r="31" spans="2:128">
      <c r="B31" s="73" t="s">
        <v>145</v>
      </c>
      <c r="C31" s="103">
        <v>2</v>
      </c>
      <c r="E31" s="52" t="str">
        <f>IF(IF(C84="",1,IF(C84&gt;1,0,1))*IF(D84="",1,IF(D84&gt;1,0,1))=1,"","→ shall not exceed 100%")</f>
        <v/>
      </c>
      <c r="H31" s="193"/>
      <c r="I31" s="192"/>
      <c r="J31" s="192" t="s">
        <v>377</v>
      </c>
      <c r="K31" s="192"/>
      <c r="L31" s="192" t="s">
        <v>377</v>
      </c>
      <c r="M31" s="192"/>
      <c r="N31" s="192" t="s">
        <v>377</v>
      </c>
      <c r="O31" s="192"/>
      <c r="P31" s="192" t="s">
        <v>377</v>
      </c>
      <c r="Q31" s="192"/>
      <c r="R31" s="192" t="s">
        <v>377</v>
      </c>
      <c r="S31" s="192"/>
      <c r="T31" s="192">
        <v>37.602568050843004</v>
      </c>
      <c r="U31" s="192"/>
      <c r="V31" s="192">
        <v>38.007815882019806</v>
      </c>
      <c r="W31" s="192"/>
      <c r="X31" s="192">
        <v>38.14289849241208</v>
      </c>
      <c r="Y31" s="192"/>
      <c r="Z31" s="192">
        <v>38.007815882019806</v>
      </c>
      <c r="AA31" s="192"/>
      <c r="AB31" s="192">
        <v>37.737650661235271</v>
      </c>
      <c r="AC31" s="192"/>
      <c r="AD31" s="192">
        <v>37.197320219666196</v>
      </c>
      <c r="AE31" s="192"/>
      <c r="AF31" s="192" t="s">
        <v>377</v>
      </c>
      <c r="AG31" s="192"/>
      <c r="AH31" s="192" t="s">
        <v>377</v>
      </c>
      <c r="AI31" s="192"/>
      <c r="AJ31" s="192" t="s">
        <v>377</v>
      </c>
      <c r="AK31" s="192"/>
      <c r="AL31" s="192" t="s">
        <v>377</v>
      </c>
      <c r="AM31" s="192"/>
      <c r="AN31" s="192"/>
      <c r="AO31" s="194"/>
      <c r="AS31" s="183"/>
      <c r="AT31" s="183"/>
      <c r="AU31" s="183" t="s">
        <v>377</v>
      </c>
      <c r="AV31" s="183"/>
      <c r="AW31" s="183" t="s">
        <v>377</v>
      </c>
      <c r="AX31" s="183"/>
      <c r="AY31" s="183" t="s">
        <v>377</v>
      </c>
      <c r="AZ31" s="183"/>
      <c r="BA31" s="183" t="s">
        <v>377</v>
      </c>
      <c r="BB31" s="183"/>
      <c r="BC31" s="183" t="s">
        <v>377</v>
      </c>
      <c r="BD31" s="183"/>
      <c r="BE31" s="183">
        <v>47.646215287834167</v>
      </c>
      <c r="BF31" s="183"/>
      <c r="BG31" s="183">
        <v>48.983959061515279</v>
      </c>
      <c r="BH31" s="183"/>
      <c r="BI31" s="183">
        <v>49.429873652742309</v>
      </c>
      <c r="BJ31" s="183"/>
      <c r="BK31" s="183">
        <v>48.983959061515279</v>
      </c>
      <c r="BL31" s="183"/>
      <c r="BM31" s="183">
        <v>48.092129879061204</v>
      </c>
      <c r="BN31" s="183"/>
      <c r="BO31" s="183">
        <v>46.308471514153069</v>
      </c>
      <c r="BP31" s="183"/>
      <c r="BQ31" s="183" t="s">
        <v>377</v>
      </c>
      <c r="BR31" s="183"/>
      <c r="BS31" s="183" t="s">
        <v>377</v>
      </c>
      <c r="BT31" s="183"/>
      <c r="BU31" s="183" t="s">
        <v>377</v>
      </c>
      <c r="BV31" s="183"/>
      <c r="BW31" s="183" t="s">
        <v>377</v>
      </c>
      <c r="BX31" s="183"/>
      <c r="BY31" s="183"/>
      <c r="BZ31" s="183"/>
      <c r="CB31" s="186"/>
      <c r="CC31" s="186"/>
      <c r="CD31" s="186">
        <v>173</v>
      </c>
      <c r="CE31" s="186"/>
      <c r="CF31" s="186">
        <v>115</v>
      </c>
      <c r="CG31" s="186"/>
      <c r="CH31" s="186">
        <v>81</v>
      </c>
      <c r="CI31" s="186"/>
      <c r="CJ31" s="186">
        <v>53</v>
      </c>
      <c r="CK31" s="186"/>
      <c r="CL31" s="186">
        <v>31</v>
      </c>
      <c r="CM31" s="186"/>
      <c r="CN31" s="186">
        <v>15</v>
      </c>
      <c r="CO31" s="186"/>
      <c r="CP31" s="186">
        <v>5</v>
      </c>
      <c r="CQ31" s="186"/>
      <c r="CR31" s="186">
        <v>1</v>
      </c>
      <c r="CS31" s="186"/>
      <c r="CT31" s="186">
        <v>2</v>
      </c>
      <c r="CU31" s="186"/>
      <c r="CV31" s="186">
        <v>9</v>
      </c>
      <c r="CW31" s="186"/>
      <c r="CX31" s="186">
        <v>22</v>
      </c>
      <c r="CY31" s="186"/>
      <c r="CZ31" s="186">
        <v>41</v>
      </c>
      <c r="DA31" s="186"/>
      <c r="DB31" s="186">
        <v>66</v>
      </c>
      <c r="DC31" s="186"/>
      <c r="DD31" s="186">
        <v>97</v>
      </c>
      <c r="DE31" s="186"/>
      <c r="DF31" s="186">
        <v>170</v>
      </c>
      <c r="DG31" s="186"/>
      <c r="DH31" s="186"/>
      <c r="DI31" s="186"/>
      <c r="DK31" s="68">
        <f t="shared" si="0"/>
        <v>43.31359693620427</v>
      </c>
      <c r="DL31" s="38"/>
      <c r="DM31" s="38"/>
      <c r="DN31" s="38"/>
      <c r="DO31" s="38"/>
      <c r="DP31" s="38"/>
      <c r="DQ31" s="38"/>
      <c r="DR31" s="38"/>
      <c r="DS31" s="38"/>
      <c r="DT31" s="38"/>
      <c r="DU31" s="38"/>
      <c r="DV31" s="38"/>
      <c r="DW31" s="38"/>
      <c r="DX31" s="38"/>
    </row>
    <row r="32" spans="2:128">
      <c r="B32" s="65" t="s">
        <v>236</v>
      </c>
      <c r="C32" s="73" t="str">
        <f>'Cable and cord selector'!J31</f>
        <v>ACTPC6ASFLS20yy (yy = color code)</v>
      </c>
      <c r="H32" s="91"/>
      <c r="I32" s="192"/>
      <c r="J32" s="192"/>
      <c r="K32" s="192" t="s">
        <v>377</v>
      </c>
      <c r="L32" s="192"/>
      <c r="M32" s="192" t="s">
        <v>377</v>
      </c>
      <c r="N32" s="192"/>
      <c r="O32" s="192" t="s">
        <v>377</v>
      </c>
      <c r="P32" s="192"/>
      <c r="Q32" s="192" t="s">
        <v>377</v>
      </c>
      <c r="R32" s="192"/>
      <c r="S32" s="192" t="s">
        <v>377</v>
      </c>
      <c r="T32" s="192"/>
      <c r="U32" s="192">
        <v>37.602568050843004</v>
      </c>
      <c r="V32" s="192"/>
      <c r="W32" s="192">
        <v>38.007815882019806</v>
      </c>
      <c r="X32" s="192"/>
      <c r="Y32" s="192">
        <v>38.007815882019806</v>
      </c>
      <c r="Z32" s="192"/>
      <c r="AA32" s="192">
        <v>37.737650661235271</v>
      </c>
      <c r="AB32" s="192"/>
      <c r="AC32" s="192">
        <v>37.197320219666196</v>
      </c>
      <c r="AD32" s="192"/>
      <c r="AE32" s="192" t="s">
        <v>377</v>
      </c>
      <c r="AF32" s="192"/>
      <c r="AG32" s="192" t="s">
        <v>377</v>
      </c>
      <c r="AH32" s="192"/>
      <c r="AI32" s="192" t="s">
        <v>377</v>
      </c>
      <c r="AJ32" s="192"/>
      <c r="AK32" s="192" t="s">
        <v>377</v>
      </c>
      <c r="AL32" s="192"/>
      <c r="AM32" s="192"/>
      <c r="AN32" s="192"/>
      <c r="AO32" s="93"/>
      <c r="AS32" s="43"/>
      <c r="AT32" s="183"/>
      <c r="AU32" s="183"/>
      <c r="AV32" s="183" t="s">
        <v>377</v>
      </c>
      <c r="AW32" s="183"/>
      <c r="AX32" s="183" t="s">
        <v>377</v>
      </c>
      <c r="AY32" s="183"/>
      <c r="AZ32" s="183" t="s">
        <v>377</v>
      </c>
      <c r="BA32" s="183"/>
      <c r="BB32" s="183" t="s">
        <v>377</v>
      </c>
      <c r="BC32" s="183"/>
      <c r="BD32" s="183" t="s">
        <v>377</v>
      </c>
      <c r="BE32" s="183"/>
      <c r="BF32" s="183">
        <v>47.646215287834167</v>
      </c>
      <c r="BG32" s="183"/>
      <c r="BH32" s="183">
        <v>48.983959061515279</v>
      </c>
      <c r="BI32" s="183"/>
      <c r="BJ32" s="183">
        <v>48.983959061515279</v>
      </c>
      <c r="BK32" s="183"/>
      <c r="BL32" s="183">
        <v>48.092129879061204</v>
      </c>
      <c r="BM32" s="183"/>
      <c r="BN32" s="183">
        <v>46.308471514153069</v>
      </c>
      <c r="BO32" s="183"/>
      <c r="BP32" s="183" t="s">
        <v>377</v>
      </c>
      <c r="BQ32" s="183"/>
      <c r="BR32" s="183" t="s">
        <v>377</v>
      </c>
      <c r="BS32" s="183"/>
      <c r="BT32" s="183" t="s">
        <v>377</v>
      </c>
      <c r="BU32" s="183"/>
      <c r="BV32" s="183" t="s">
        <v>377</v>
      </c>
      <c r="BW32" s="183"/>
      <c r="BX32" s="183"/>
      <c r="BY32" s="183"/>
      <c r="BZ32" s="43"/>
      <c r="CB32" s="66"/>
      <c r="CC32" s="186"/>
      <c r="CD32" s="186"/>
      <c r="CE32" s="186">
        <v>158</v>
      </c>
      <c r="CF32" s="186"/>
      <c r="CG32" s="186">
        <v>116</v>
      </c>
      <c r="CH32" s="186"/>
      <c r="CI32" s="186">
        <v>82</v>
      </c>
      <c r="CJ32" s="186"/>
      <c r="CK32" s="186">
        <v>54</v>
      </c>
      <c r="CL32" s="186"/>
      <c r="CM32" s="186">
        <v>32</v>
      </c>
      <c r="CN32" s="186"/>
      <c r="CO32" s="186">
        <v>16</v>
      </c>
      <c r="CP32" s="186"/>
      <c r="CQ32" s="186">
        <v>6</v>
      </c>
      <c r="CR32" s="186"/>
      <c r="CS32" s="186">
        <v>7</v>
      </c>
      <c r="CT32" s="186"/>
      <c r="CU32" s="186">
        <v>8</v>
      </c>
      <c r="CV32" s="186"/>
      <c r="CW32" s="186">
        <v>21</v>
      </c>
      <c r="CX32" s="186"/>
      <c r="CY32" s="186">
        <v>40</v>
      </c>
      <c r="CZ32" s="186"/>
      <c r="DA32" s="186">
        <v>65</v>
      </c>
      <c r="DB32" s="186"/>
      <c r="DC32" s="186">
        <v>96</v>
      </c>
      <c r="DD32" s="186"/>
      <c r="DE32" s="186">
        <v>163</v>
      </c>
      <c r="DF32" s="186"/>
      <c r="DG32" s="186"/>
      <c r="DH32" s="186"/>
      <c r="DI32" s="66"/>
      <c r="DK32" s="68">
        <f t="shared" si="0"/>
        <v>42.549062346637015</v>
      </c>
      <c r="DL32" s="38"/>
      <c r="DM32" s="38"/>
      <c r="DN32" s="38"/>
      <c r="DO32" s="38"/>
      <c r="DP32" s="38"/>
      <c r="DQ32" s="38"/>
      <c r="DR32" s="38"/>
      <c r="DS32" s="38"/>
      <c r="DT32" s="38"/>
      <c r="DU32" s="38"/>
      <c r="DV32" s="38"/>
      <c r="DW32" s="38"/>
      <c r="DX32" s="38"/>
    </row>
    <row r="33" spans="2:128">
      <c r="B33" s="73" t="s">
        <v>246</v>
      </c>
      <c r="C33" s="73"/>
      <c r="H33" s="91"/>
      <c r="I33" s="92"/>
      <c r="J33" s="192" t="s">
        <v>377</v>
      </c>
      <c r="K33" s="192"/>
      <c r="L33" s="192" t="s">
        <v>377</v>
      </c>
      <c r="M33" s="192"/>
      <c r="N33" s="192" t="s">
        <v>377</v>
      </c>
      <c r="O33" s="192"/>
      <c r="P33" s="192" t="s">
        <v>377</v>
      </c>
      <c r="Q33" s="192"/>
      <c r="R33" s="192" t="s">
        <v>377</v>
      </c>
      <c r="S33" s="192"/>
      <c r="T33" s="192" t="s">
        <v>377</v>
      </c>
      <c r="U33" s="192"/>
      <c r="V33" s="192">
        <v>37.602568050843004</v>
      </c>
      <c r="W33" s="192"/>
      <c r="X33" s="192">
        <v>37.602568050843004</v>
      </c>
      <c r="Y33" s="192"/>
      <c r="Z33" s="192">
        <v>37.602568050843004</v>
      </c>
      <c r="AA33" s="192"/>
      <c r="AB33" s="192">
        <v>37.197320219666196</v>
      </c>
      <c r="AC33" s="192"/>
      <c r="AD33" s="192" t="s">
        <v>377</v>
      </c>
      <c r="AE33" s="192"/>
      <c r="AF33" s="192" t="s">
        <v>377</v>
      </c>
      <c r="AG33" s="192"/>
      <c r="AH33" s="192" t="s">
        <v>377</v>
      </c>
      <c r="AI33" s="192"/>
      <c r="AJ33" s="192" t="s">
        <v>377</v>
      </c>
      <c r="AK33" s="192"/>
      <c r="AL33" s="192" t="s">
        <v>377</v>
      </c>
      <c r="AM33" s="192"/>
      <c r="AN33" s="92"/>
      <c r="AO33" s="93"/>
      <c r="AS33" s="43"/>
      <c r="AT33" s="43"/>
      <c r="AU33" s="183" t="s">
        <v>377</v>
      </c>
      <c r="AV33" s="183"/>
      <c r="AW33" s="183" t="s">
        <v>377</v>
      </c>
      <c r="AX33" s="183"/>
      <c r="AY33" s="183" t="s">
        <v>377</v>
      </c>
      <c r="AZ33" s="183"/>
      <c r="BA33" s="183" t="s">
        <v>377</v>
      </c>
      <c r="BB33" s="183"/>
      <c r="BC33" s="183" t="s">
        <v>377</v>
      </c>
      <c r="BD33" s="183"/>
      <c r="BE33" s="183" t="s">
        <v>377</v>
      </c>
      <c r="BF33" s="183"/>
      <c r="BG33" s="183">
        <v>47.646215287834167</v>
      </c>
      <c r="BH33" s="183"/>
      <c r="BI33" s="183">
        <v>47.646215287834167</v>
      </c>
      <c r="BJ33" s="183"/>
      <c r="BK33" s="183">
        <v>47.646215287834167</v>
      </c>
      <c r="BL33" s="183"/>
      <c r="BM33" s="183">
        <v>46.308471514153069</v>
      </c>
      <c r="BN33" s="183"/>
      <c r="BO33" s="183" t="s">
        <v>377</v>
      </c>
      <c r="BP33" s="183"/>
      <c r="BQ33" s="183" t="s">
        <v>377</v>
      </c>
      <c r="BR33" s="183"/>
      <c r="BS33" s="183" t="s">
        <v>377</v>
      </c>
      <c r="BT33" s="183"/>
      <c r="BU33" s="183" t="s">
        <v>377</v>
      </c>
      <c r="BV33" s="183"/>
      <c r="BW33" s="183" t="s">
        <v>377</v>
      </c>
      <c r="BX33" s="183"/>
      <c r="BY33" s="43"/>
      <c r="BZ33" s="43"/>
      <c r="CB33" s="66"/>
      <c r="CC33" s="66"/>
      <c r="CD33" s="186">
        <v>194</v>
      </c>
      <c r="CE33" s="186"/>
      <c r="CF33" s="186">
        <v>146</v>
      </c>
      <c r="CG33" s="186"/>
      <c r="CH33" s="186">
        <v>117</v>
      </c>
      <c r="CI33" s="186"/>
      <c r="CJ33" s="186">
        <v>83</v>
      </c>
      <c r="CK33" s="186"/>
      <c r="CL33" s="186">
        <v>55</v>
      </c>
      <c r="CM33" s="186"/>
      <c r="CN33" s="186">
        <v>33</v>
      </c>
      <c r="CO33" s="186"/>
      <c r="CP33" s="186">
        <v>17</v>
      </c>
      <c r="CQ33" s="186"/>
      <c r="CR33" s="186">
        <v>18</v>
      </c>
      <c r="CS33" s="186"/>
      <c r="CT33" s="186">
        <v>19</v>
      </c>
      <c r="CU33" s="186"/>
      <c r="CV33" s="186">
        <v>20</v>
      </c>
      <c r="CW33" s="186"/>
      <c r="CX33" s="186">
        <v>39</v>
      </c>
      <c r="CY33" s="186"/>
      <c r="CZ33" s="186">
        <v>64</v>
      </c>
      <c r="DA33" s="186"/>
      <c r="DB33" s="186">
        <v>95</v>
      </c>
      <c r="DC33" s="186"/>
      <c r="DD33" s="186">
        <v>151</v>
      </c>
      <c r="DE33" s="186"/>
      <c r="DF33" s="186">
        <v>199</v>
      </c>
      <c r="DG33" s="186"/>
      <c r="DH33" s="66"/>
      <c r="DI33" s="66"/>
      <c r="DK33" s="68">
        <f t="shared" si="0"/>
        <v>41.78452775706976</v>
      </c>
      <c r="DL33" s="38"/>
      <c r="DM33" s="38"/>
      <c r="DN33" s="38"/>
      <c r="DO33" s="38"/>
      <c r="DP33" s="38"/>
      <c r="DQ33" s="38"/>
      <c r="DR33" s="38"/>
      <c r="DS33" s="38"/>
      <c r="DT33" s="38"/>
      <c r="DU33" s="38"/>
      <c r="DV33" s="38"/>
      <c r="DW33" s="38"/>
      <c r="DX33" s="38"/>
    </row>
    <row r="34" spans="2:128" ht="15" customHeight="1">
      <c r="H34" s="91"/>
      <c r="I34" s="92"/>
      <c r="J34" s="92"/>
      <c r="K34" s="192" t="s">
        <v>377</v>
      </c>
      <c r="L34" s="192"/>
      <c r="M34" s="192" t="s">
        <v>377</v>
      </c>
      <c r="N34" s="192"/>
      <c r="O34" s="192" t="s">
        <v>377</v>
      </c>
      <c r="P34" s="192"/>
      <c r="Q34" s="192" t="s">
        <v>377</v>
      </c>
      <c r="R34" s="192"/>
      <c r="S34" s="192" t="s">
        <v>377</v>
      </c>
      <c r="T34" s="192"/>
      <c r="U34" s="192" t="s">
        <v>377</v>
      </c>
      <c r="V34" s="192"/>
      <c r="W34" s="192" t="s">
        <v>377</v>
      </c>
      <c r="X34" s="192"/>
      <c r="Y34" s="192" t="s">
        <v>377</v>
      </c>
      <c r="Z34" s="192"/>
      <c r="AA34" s="192" t="s">
        <v>377</v>
      </c>
      <c r="AB34" s="192"/>
      <c r="AC34" s="192" t="s">
        <v>377</v>
      </c>
      <c r="AD34" s="192"/>
      <c r="AE34" s="192" t="s">
        <v>377</v>
      </c>
      <c r="AF34" s="192"/>
      <c r="AG34" s="192" t="s">
        <v>377</v>
      </c>
      <c r="AH34" s="192"/>
      <c r="AI34" s="192" t="s">
        <v>377</v>
      </c>
      <c r="AJ34" s="192"/>
      <c r="AK34" s="192" t="s">
        <v>377</v>
      </c>
      <c r="AL34" s="192"/>
      <c r="AM34" s="92"/>
      <c r="AN34" s="92"/>
      <c r="AO34" s="93"/>
      <c r="AS34" s="43"/>
      <c r="AT34" s="43"/>
      <c r="AU34" s="43"/>
      <c r="AV34" s="183" t="s">
        <v>377</v>
      </c>
      <c r="AW34" s="183"/>
      <c r="AX34" s="183" t="s">
        <v>377</v>
      </c>
      <c r="AY34" s="183"/>
      <c r="AZ34" s="183" t="s">
        <v>377</v>
      </c>
      <c r="BA34" s="183"/>
      <c r="BB34" s="183" t="s">
        <v>377</v>
      </c>
      <c r="BC34" s="183"/>
      <c r="BD34" s="183" t="s">
        <v>377</v>
      </c>
      <c r="BE34" s="183"/>
      <c r="BF34" s="183" t="s">
        <v>377</v>
      </c>
      <c r="BG34" s="183"/>
      <c r="BH34" s="183" t="s">
        <v>377</v>
      </c>
      <c r="BI34" s="183"/>
      <c r="BJ34" s="183" t="s">
        <v>377</v>
      </c>
      <c r="BK34" s="183"/>
      <c r="BL34" s="183" t="s">
        <v>377</v>
      </c>
      <c r="BM34" s="183"/>
      <c r="BN34" s="183" t="s">
        <v>377</v>
      </c>
      <c r="BO34" s="183"/>
      <c r="BP34" s="183" t="s">
        <v>377</v>
      </c>
      <c r="BQ34" s="183"/>
      <c r="BR34" s="183" t="s">
        <v>377</v>
      </c>
      <c r="BS34" s="183"/>
      <c r="BT34" s="183" t="s">
        <v>377</v>
      </c>
      <c r="BU34" s="183"/>
      <c r="BV34" s="183" t="s">
        <v>377</v>
      </c>
      <c r="BW34" s="183"/>
      <c r="BX34" s="43"/>
      <c r="BY34" s="43"/>
      <c r="BZ34" s="43"/>
      <c r="CB34" s="66"/>
      <c r="CC34" s="66"/>
      <c r="CD34" s="66"/>
      <c r="CE34" s="186">
        <v>182</v>
      </c>
      <c r="CF34" s="186"/>
      <c r="CG34" s="186">
        <v>134</v>
      </c>
      <c r="CH34" s="186"/>
      <c r="CI34" s="186">
        <v>118</v>
      </c>
      <c r="CJ34" s="186"/>
      <c r="CK34" s="186">
        <v>84</v>
      </c>
      <c r="CL34" s="186"/>
      <c r="CM34" s="186">
        <v>56</v>
      </c>
      <c r="CN34" s="186"/>
      <c r="CO34" s="186">
        <v>34</v>
      </c>
      <c r="CP34" s="186"/>
      <c r="CQ34" s="186">
        <v>35</v>
      </c>
      <c r="CR34" s="186"/>
      <c r="CS34" s="186">
        <v>36</v>
      </c>
      <c r="CT34" s="186"/>
      <c r="CU34" s="186">
        <v>37</v>
      </c>
      <c r="CV34" s="186"/>
      <c r="CW34" s="186">
        <v>38</v>
      </c>
      <c r="CX34" s="186"/>
      <c r="CY34" s="186">
        <v>63</v>
      </c>
      <c r="CZ34" s="186"/>
      <c r="DA34" s="186">
        <v>94</v>
      </c>
      <c r="DB34" s="186"/>
      <c r="DC34" s="186">
        <v>139</v>
      </c>
      <c r="DD34" s="186"/>
      <c r="DE34" s="186">
        <v>187</v>
      </c>
      <c r="DF34" s="186"/>
      <c r="DG34" s="66"/>
      <c r="DH34" s="66"/>
      <c r="DI34" s="66"/>
      <c r="DK34" s="68">
        <f t="shared" si="0"/>
        <v>41.019993167502506</v>
      </c>
      <c r="DL34" s="38"/>
      <c r="DM34" s="38"/>
      <c r="DN34" s="38"/>
      <c r="DO34" s="38"/>
      <c r="DP34" s="38"/>
      <c r="DQ34" s="38"/>
      <c r="DR34" s="38"/>
      <c r="DS34" s="38"/>
      <c r="DT34" s="38"/>
      <c r="DU34" s="38"/>
      <c r="DV34" s="38"/>
      <c r="DW34" s="38"/>
      <c r="DX34" s="38"/>
    </row>
    <row r="35" spans="2:128" ht="15" customHeight="1">
      <c r="B35" s="34" t="s">
        <v>237</v>
      </c>
      <c r="C35" s="104">
        <v>25</v>
      </c>
      <c r="H35" s="91"/>
      <c r="I35" s="92"/>
      <c r="J35" s="92"/>
      <c r="K35" s="92"/>
      <c r="L35" s="192" t="s">
        <v>377</v>
      </c>
      <c r="M35" s="192"/>
      <c r="N35" s="192" t="s">
        <v>377</v>
      </c>
      <c r="O35" s="192"/>
      <c r="P35" s="192" t="s">
        <v>377</v>
      </c>
      <c r="Q35" s="192"/>
      <c r="R35" s="192" t="s">
        <v>377</v>
      </c>
      <c r="S35" s="192"/>
      <c r="T35" s="192" t="s">
        <v>377</v>
      </c>
      <c r="U35" s="192"/>
      <c r="V35" s="192" t="s">
        <v>377</v>
      </c>
      <c r="W35" s="192"/>
      <c r="X35" s="192" t="s">
        <v>377</v>
      </c>
      <c r="Y35" s="192"/>
      <c r="Z35" s="192" t="s">
        <v>377</v>
      </c>
      <c r="AA35" s="192"/>
      <c r="AB35" s="192" t="s">
        <v>377</v>
      </c>
      <c r="AC35" s="192"/>
      <c r="AD35" s="192" t="s">
        <v>377</v>
      </c>
      <c r="AE35" s="192"/>
      <c r="AF35" s="192" t="s">
        <v>377</v>
      </c>
      <c r="AG35" s="192"/>
      <c r="AH35" s="192" t="s">
        <v>377</v>
      </c>
      <c r="AI35" s="192"/>
      <c r="AJ35" s="192" t="s">
        <v>377</v>
      </c>
      <c r="AK35" s="192"/>
      <c r="AL35" s="92"/>
      <c r="AM35" s="92"/>
      <c r="AN35" s="92"/>
      <c r="AO35" s="93"/>
      <c r="AS35" s="43"/>
      <c r="AT35" s="43"/>
      <c r="AU35" s="43"/>
      <c r="AV35" s="43"/>
      <c r="AW35" s="183" t="s">
        <v>377</v>
      </c>
      <c r="AX35" s="183"/>
      <c r="AY35" s="183" t="s">
        <v>377</v>
      </c>
      <c r="AZ35" s="183"/>
      <c r="BA35" s="183" t="s">
        <v>377</v>
      </c>
      <c r="BB35" s="183"/>
      <c r="BC35" s="183" t="s">
        <v>377</v>
      </c>
      <c r="BD35" s="183"/>
      <c r="BE35" s="183" t="s">
        <v>377</v>
      </c>
      <c r="BF35" s="183"/>
      <c r="BG35" s="183" t="s">
        <v>377</v>
      </c>
      <c r="BH35" s="183"/>
      <c r="BI35" s="183" t="s">
        <v>377</v>
      </c>
      <c r="BJ35" s="183"/>
      <c r="BK35" s="183" t="s">
        <v>377</v>
      </c>
      <c r="BL35" s="183"/>
      <c r="BM35" s="183" t="s">
        <v>377</v>
      </c>
      <c r="BN35" s="183"/>
      <c r="BO35" s="183" t="s">
        <v>377</v>
      </c>
      <c r="BP35" s="183"/>
      <c r="BQ35" s="183" t="s">
        <v>377</v>
      </c>
      <c r="BR35" s="183"/>
      <c r="BS35" s="183" t="s">
        <v>377</v>
      </c>
      <c r="BT35" s="183"/>
      <c r="BU35" s="183" t="s">
        <v>377</v>
      </c>
      <c r="BV35" s="183"/>
      <c r="BW35" s="43"/>
      <c r="BX35" s="43"/>
      <c r="BY35" s="43"/>
      <c r="BZ35" s="43"/>
      <c r="CB35" s="66"/>
      <c r="CC35" s="66"/>
      <c r="CD35" s="66"/>
      <c r="CE35" s="66"/>
      <c r="CF35" s="186">
        <v>167</v>
      </c>
      <c r="CG35" s="186"/>
      <c r="CH35" s="186">
        <v>135</v>
      </c>
      <c r="CI35" s="186"/>
      <c r="CJ35" s="186">
        <v>119</v>
      </c>
      <c r="CK35" s="186"/>
      <c r="CL35" s="186">
        <v>85</v>
      </c>
      <c r="CM35" s="186"/>
      <c r="CN35" s="186">
        <v>57</v>
      </c>
      <c r="CO35" s="186"/>
      <c r="CP35" s="186">
        <v>58</v>
      </c>
      <c r="CQ35" s="186"/>
      <c r="CR35" s="186">
        <v>59</v>
      </c>
      <c r="CS35" s="186"/>
      <c r="CT35" s="186">
        <v>60</v>
      </c>
      <c r="CU35" s="186"/>
      <c r="CV35" s="186">
        <v>61</v>
      </c>
      <c r="CW35" s="186"/>
      <c r="CX35" s="186">
        <v>62</v>
      </c>
      <c r="CY35" s="186"/>
      <c r="CZ35" s="186">
        <v>93</v>
      </c>
      <c r="DA35" s="186"/>
      <c r="DB35" s="186">
        <v>138</v>
      </c>
      <c r="DC35" s="186"/>
      <c r="DD35" s="186">
        <v>169</v>
      </c>
      <c r="DE35" s="186"/>
      <c r="DF35" s="66"/>
      <c r="DG35" s="66"/>
      <c r="DH35" s="66"/>
      <c r="DI35" s="66"/>
      <c r="DK35" s="68">
        <f t="shared" si="0"/>
        <v>40.255458577935251</v>
      </c>
      <c r="DL35" s="38"/>
      <c r="DM35" s="38"/>
      <c r="DN35" s="38"/>
      <c r="DO35" s="38"/>
      <c r="DP35" s="38"/>
      <c r="DQ35" s="38"/>
      <c r="DR35" s="38"/>
      <c r="DS35" s="38"/>
      <c r="DT35" s="38"/>
      <c r="DU35" s="38"/>
      <c r="DV35" s="38"/>
      <c r="DW35" s="38"/>
      <c r="DX35" s="38"/>
    </row>
    <row r="36" spans="2:128">
      <c r="H36" s="91"/>
      <c r="I36" s="92"/>
      <c r="J36" s="92"/>
      <c r="K36" s="92"/>
      <c r="L36" s="92"/>
      <c r="M36" s="192" t="s">
        <v>377</v>
      </c>
      <c r="N36" s="192"/>
      <c r="O36" s="192" t="s">
        <v>377</v>
      </c>
      <c r="P36" s="192"/>
      <c r="Q36" s="192" t="s">
        <v>377</v>
      </c>
      <c r="R36" s="192"/>
      <c r="S36" s="192" t="s">
        <v>377</v>
      </c>
      <c r="T36" s="192"/>
      <c r="U36" s="192" t="s">
        <v>377</v>
      </c>
      <c r="V36" s="192"/>
      <c r="W36" s="192" t="s">
        <v>377</v>
      </c>
      <c r="X36" s="192"/>
      <c r="Y36" s="192" t="s">
        <v>377</v>
      </c>
      <c r="Z36" s="192"/>
      <c r="AA36" s="192" t="s">
        <v>377</v>
      </c>
      <c r="AB36" s="192"/>
      <c r="AC36" s="192" t="s">
        <v>377</v>
      </c>
      <c r="AD36" s="192"/>
      <c r="AE36" s="192" t="s">
        <v>377</v>
      </c>
      <c r="AF36" s="192"/>
      <c r="AG36" s="192" t="s">
        <v>377</v>
      </c>
      <c r="AH36" s="192"/>
      <c r="AI36" s="192" t="s">
        <v>377</v>
      </c>
      <c r="AJ36" s="192"/>
      <c r="AK36" s="92"/>
      <c r="AL36" s="92"/>
      <c r="AM36" s="92"/>
      <c r="AN36" s="92"/>
      <c r="AO36" s="93"/>
      <c r="AS36" s="43"/>
      <c r="AT36" s="43"/>
      <c r="AU36" s="43"/>
      <c r="AV36" s="43"/>
      <c r="AW36" s="43"/>
      <c r="AX36" s="183" t="s">
        <v>377</v>
      </c>
      <c r="AY36" s="183"/>
      <c r="AZ36" s="183" t="s">
        <v>377</v>
      </c>
      <c r="BA36" s="183"/>
      <c r="BB36" s="183" t="s">
        <v>377</v>
      </c>
      <c r="BC36" s="183"/>
      <c r="BD36" s="183" t="s">
        <v>377</v>
      </c>
      <c r="BE36" s="183"/>
      <c r="BF36" s="183" t="s">
        <v>377</v>
      </c>
      <c r="BG36" s="183"/>
      <c r="BH36" s="183" t="s">
        <v>377</v>
      </c>
      <c r="BI36" s="183"/>
      <c r="BJ36" s="183" t="s">
        <v>377</v>
      </c>
      <c r="BK36" s="183"/>
      <c r="BL36" s="183" t="s">
        <v>377</v>
      </c>
      <c r="BM36" s="183"/>
      <c r="BN36" s="183" t="s">
        <v>377</v>
      </c>
      <c r="BO36" s="183"/>
      <c r="BP36" s="183" t="s">
        <v>377</v>
      </c>
      <c r="BQ36" s="183"/>
      <c r="BR36" s="183" t="s">
        <v>377</v>
      </c>
      <c r="BS36" s="183"/>
      <c r="BT36" s="183" t="s">
        <v>377</v>
      </c>
      <c r="BU36" s="183"/>
      <c r="BV36" s="43"/>
      <c r="BW36" s="43"/>
      <c r="BX36" s="43"/>
      <c r="BY36" s="43"/>
      <c r="BZ36" s="43"/>
      <c r="CB36" s="66"/>
      <c r="CC36" s="66"/>
      <c r="CD36" s="66"/>
      <c r="CE36" s="66"/>
      <c r="CF36" s="66"/>
      <c r="CG36" s="186">
        <v>183</v>
      </c>
      <c r="CH36" s="186"/>
      <c r="CI36" s="186">
        <v>147</v>
      </c>
      <c r="CJ36" s="186"/>
      <c r="CK36" s="186">
        <v>120</v>
      </c>
      <c r="CL36" s="186"/>
      <c r="CM36" s="186">
        <v>86</v>
      </c>
      <c r="CN36" s="186"/>
      <c r="CO36" s="186">
        <v>87</v>
      </c>
      <c r="CP36" s="186"/>
      <c r="CQ36" s="186">
        <v>88</v>
      </c>
      <c r="CR36" s="186"/>
      <c r="CS36" s="186">
        <v>89</v>
      </c>
      <c r="CT36" s="186"/>
      <c r="CU36" s="186">
        <v>90</v>
      </c>
      <c r="CV36" s="186"/>
      <c r="CW36" s="186">
        <v>91</v>
      </c>
      <c r="CX36" s="186"/>
      <c r="CY36" s="186">
        <v>92</v>
      </c>
      <c r="CZ36" s="186"/>
      <c r="DA36" s="186">
        <v>150</v>
      </c>
      <c r="DB36" s="186"/>
      <c r="DC36" s="186">
        <v>186</v>
      </c>
      <c r="DD36" s="186"/>
      <c r="DE36" s="66"/>
      <c r="DF36" s="66"/>
      <c r="DG36" s="66"/>
      <c r="DH36" s="66"/>
      <c r="DI36" s="66"/>
      <c r="DK36" s="68">
        <f t="shared" si="0"/>
        <v>39.490923988367996</v>
      </c>
      <c r="DL36" s="38"/>
      <c r="DM36" s="38"/>
      <c r="DN36" s="38"/>
      <c r="DO36" s="38"/>
      <c r="DP36" s="38"/>
      <c r="DQ36" s="38"/>
      <c r="DR36" s="38"/>
      <c r="DS36" s="38"/>
      <c r="DT36" s="38"/>
      <c r="DU36" s="38"/>
      <c r="DV36" s="38"/>
      <c r="DW36" s="38"/>
      <c r="DX36" s="38"/>
    </row>
    <row r="37" spans="2:128">
      <c r="H37" s="91"/>
      <c r="I37" s="92"/>
      <c r="J37" s="92"/>
      <c r="K37" s="92"/>
      <c r="L37" s="92"/>
      <c r="M37" s="92"/>
      <c r="N37" s="192" t="s">
        <v>377</v>
      </c>
      <c r="O37" s="192"/>
      <c r="P37" s="192" t="s">
        <v>377</v>
      </c>
      <c r="Q37" s="192"/>
      <c r="R37" s="192" t="s">
        <v>377</v>
      </c>
      <c r="S37" s="192"/>
      <c r="T37" s="192" t="s">
        <v>377</v>
      </c>
      <c r="U37" s="192"/>
      <c r="V37" s="192" t="s">
        <v>377</v>
      </c>
      <c r="W37" s="192"/>
      <c r="X37" s="192" t="s">
        <v>377</v>
      </c>
      <c r="Y37" s="192"/>
      <c r="Z37" s="192" t="s">
        <v>377</v>
      </c>
      <c r="AA37" s="192"/>
      <c r="AB37" s="192" t="s">
        <v>377</v>
      </c>
      <c r="AC37" s="192"/>
      <c r="AD37" s="192" t="s">
        <v>377</v>
      </c>
      <c r="AE37" s="192"/>
      <c r="AF37" s="192" t="s">
        <v>377</v>
      </c>
      <c r="AG37" s="192"/>
      <c r="AH37" s="192" t="s">
        <v>377</v>
      </c>
      <c r="AI37" s="192"/>
      <c r="AJ37" s="92"/>
      <c r="AK37" s="92"/>
      <c r="AL37" s="92"/>
      <c r="AM37" s="92"/>
      <c r="AN37" s="92"/>
      <c r="AO37" s="93"/>
      <c r="AS37" s="43"/>
      <c r="AT37" s="43"/>
      <c r="AU37" s="43"/>
      <c r="AV37" s="43"/>
      <c r="AW37" s="43"/>
      <c r="AX37" s="43"/>
      <c r="AY37" s="183" t="s">
        <v>377</v>
      </c>
      <c r="AZ37" s="183"/>
      <c r="BA37" s="183" t="s">
        <v>377</v>
      </c>
      <c r="BB37" s="183"/>
      <c r="BC37" s="183" t="s">
        <v>377</v>
      </c>
      <c r="BD37" s="183"/>
      <c r="BE37" s="183" t="s">
        <v>377</v>
      </c>
      <c r="BF37" s="183"/>
      <c r="BG37" s="183" t="s">
        <v>377</v>
      </c>
      <c r="BH37" s="183"/>
      <c r="BI37" s="183" t="s">
        <v>377</v>
      </c>
      <c r="BJ37" s="183"/>
      <c r="BK37" s="183" t="s">
        <v>377</v>
      </c>
      <c r="BL37" s="183"/>
      <c r="BM37" s="183" t="s">
        <v>377</v>
      </c>
      <c r="BN37" s="183"/>
      <c r="BO37" s="183" t="s">
        <v>377</v>
      </c>
      <c r="BP37" s="183"/>
      <c r="BQ37" s="183" t="s">
        <v>377</v>
      </c>
      <c r="BR37" s="183"/>
      <c r="BS37" s="183" t="s">
        <v>377</v>
      </c>
      <c r="BT37" s="183"/>
      <c r="BU37" s="43"/>
      <c r="BV37" s="43"/>
      <c r="BW37" s="43"/>
      <c r="BX37" s="43"/>
      <c r="BY37" s="43"/>
      <c r="BZ37" s="43"/>
      <c r="CB37" s="66"/>
      <c r="CC37" s="66"/>
      <c r="CD37" s="66"/>
      <c r="CE37" s="66"/>
      <c r="CF37" s="66"/>
      <c r="CG37" s="66"/>
      <c r="CH37" s="186">
        <v>195</v>
      </c>
      <c r="CI37" s="186"/>
      <c r="CJ37" s="186">
        <v>159</v>
      </c>
      <c r="CK37" s="186"/>
      <c r="CL37" s="186">
        <v>121</v>
      </c>
      <c r="CM37" s="186"/>
      <c r="CN37" s="186">
        <v>122</v>
      </c>
      <c r="CO37" s="186"/>
      <c r="CP37" s="186">
        <v>123</v>
      </c>
      <c r="CQ37" s="186"/>
      <c r="CR37" s="186">
        <v>124</v>
      </c>
      <c r="CS37" s="186"/>
      <c r="CT37" s="186">
        <v>125</v>
      </c>
      <c r="CU37" s="186"/>
      <c r="CV37" s="186">
        <v>126</v>
      </c>
      <c r="CW37" s="186"/>
      <c r="CX37" s="186">
        <v>127</v>
      </c>
      <c r="CY37" s="186"/>
      <c r="CZ37" s="186">
        <v>162</v>
      </c>
      <c r="DA37" s="186"/>
      <c r="DB37" s="186">
        <v>198</v>
      </c>
      <c r="DC37" s="186"/>
      <c r="DD37" s="66"/>
      <c r="DE37" s="66"/>
      <c r="DF37" s="66"/>
      <c r="DG37" s="66"/>
      <c r="DH37" s="66"/>
      <c r="DI37" s="66"/>
      <c r="DK37" s="68">
        <f t="shared" si="0"/>
        <v>38.726389398800741</v>
      </c>
      <c r="DL37" s="38"/>
      <c r="DM37" s="38"/>
      <c r="DN37" s="38"/>
      <c r="DO37" s="38"/>
      <c r="DP37" s="38"/>
      <c r="DQ37" s="38"/>
      <c r="DR37" s="38"/>
      <c r="DS37" s="38"/>
      <c r="DT37" s="38"/>
      <c r="DU37" s="38"/>
      <c r="DV37" s="38"/>
      <c r="DW37" s="38"/>
      <c r="DX37" s="38"/>
    </row>
    <row r="38" spans="2:128">
      <c r="H38" s="91"/>
      <c r="I38" s="92"/>
      <c r="J38" s="92"/>
      <c r="K38" s="92"/>
      <c r="L38" s="92"/>
      <c r="M38" s="92"/>
      <c r="N38" s="92"/>
      <c r="O38" s="192"/>
      <c r="P38" s="192"/>
      <c r="Q38" s="192" t="s">
        <v>377</v>
      </c>
      <c r="R38" s="192"/>
      <c r="S38" s="192" t="s">
        <v>377</v>
      </c>
      <c r="T38" s="192"/>
      <c r="U38" s="192" t="s">
        <v>377</v>
      </c>
      <c r="V38" s="192"/>
      <c r="W38" s="192" t="s">
        <v>377</v>
      </c>
      <c r="X38" s="192"/>
      <c r="Y38" s="192" t="s">
        <v>377</v>
      </c>
      <c r="Z38" s="192"/>
      <c r="AA38" s="192" t="s">
        <v>377</v>
      </c>
      <c r="AB38" s="192"/>
      <c r="AC38" s="192" t="s">
        <v>377</v>
      </c>
      <c r="AD38" s="192"/>
      <c r="AE38" s="192" t="s">
        <v>377</v>
      </c>
      <c r="AF38" s="192"/>
      <c r="AG38" s="192"/>
      <c r="AH38" s="192"/>
      <c r="AI38" s="92"/>
      <c r="AJ38" s="92"/>
      <c r="AK38" s="92"/>
      <c r="AL38" s="92"/>
      <c r="AM38" s="92"/>
      <c r="AN38" s="92"/>
      <c r="AO38" s="93"/>
      <c r="AS38" s="43"/>
      <c r="AT38" s="43"/>
      <c r="AU38" s="43"/>
      <c r="AV38" s="43"/>
      <c r="AW38" s="43"/>
      <c r="AX38" s="43"/>
      <c r="AY38" s="43"/>
      <c r="AZ38" s="183"/>
      <c r="BA38" s="183"/>
      <c r="BB38" s="183" t="s">
        <v>377</v>
      </c>
      <c r="BC38" s="183"/>
      <c r="BD38" s="183" t="s">
        <v>377</v>
      </c>
      <c r="BE38" s="183"/>
      <c r="BF38" s="183" t="s">
        <v>377</v>
      </c>
      <c r="BG38" s="183"/>
      <c r="BH38" s="183" t="s">
        <v>377</v>
      </c>
      <c r="BI38" s="183"/>
      <c r="BJ38" s="183" t="s">
        <v>377</v>
      </c>
      <c r="BK38" s="183"/>
      <c r="BL38" s="183" t="s">
        <v>377</v>
      </c>
      <c r="BM38" s="183"/>
      <c r="BN38" s="183" t="s">
        <v>377</v>
      </c>
      <c r="BO38" s="183"/>
      <c r="BP38" s="183" t="s">
        <v>377</v>
      </c>
      <c r="BQ38" s="183"/>
      <c r="BR38" s="183"/>
      <c r="BS38" s="183"/>
      <c r="BT38" s="43"/>
      <c r="BU38" s="43"/>
      <c r="BV38" s="43"/>
      <c r="BW38" s="43"/>
      <c r="BX38" s="43"/>
      <c r="BY38" s="43"/>
      <c r="BZ38" s="43"/>
      <c r="CB38" s="66"/>
      <c r="CC38" s="66"/>
      <c r="CD38" s="66"/>
      <c r="CE38" s="66"/>
      <c r="CF38" s="66"/>
      <c r="CG38" s="66"/>
      <c r="CH38" s="66"/>
      <c r="CI38" s="186"/>
      <c r="CJ38" s="186"/>
      <c r="CK38" s="186">
        <v>174</v>
      </c>
      <c r="CL38" s="186"/>
      <c r="CM38" s="186">
        <v>160</v>
      </c>
      <c r="CN38" s="186"/>
      <c r="CO38" s="186">
        <v>148</v>
      </c>
      <c r="CP38" s="186"/>
      <c r="CQ38" s="186">
        <v>136</v>
      </c>
      <c r="CR38" s="186"/>
      <c r="CS38" s="186">
        <v>137</v>
      </c>
      <c r="CT38" s="186"/>
      <c r="CU38" s="186">
        <v>149</v>
      </c>
      <c r="CV38" s="186"/>
      <c r="CW38" s="186">
        <v>161</v>
      </c>
      <c r="CX38" s="186"/>
      <c r="CY38" s="186">
        <v>175</v>
      </c>
      <c r="CZ38" s="186"/>
      <c r="DA38" s="186"/>
      <c r="DB38" s="186"/>
      <c r="DC38" s="66"/>
      <c r="DD38" s="66"/>
      <c r="DE38" s="66"/>
      <c r="DF38" s="66"/>
      <c r="DG38" s="66"/>
      <c r="DH38" s="66"/>
      <c r="DI38" s="66"/>
      <c r="DK38" s="68">
        <f t="shared" si="0"/>
        <v>37.961854809233486</v>
      </c>
      <c r="DL38" s="38"/>
      <c r="DM38" s="38"/>
      <c r="DN38" s="38"/>
      <c r="DO38" s="38"/>
      <c r="DP38" s="38"/>
      <c r="DQ38" s="38"/>
      <c r="DR38" s="38"/>
      <c r="DS38" s="38"/>
      <c r="DT38" s="38"/>
      <c r="DU38" s="38"/>
      <c r="DV38" s="38"/>
      <c r="DW38" s="38"/>
      <c r="DX38" s="38"/>
    </row>
    <row r="39" spans="2:128">
      <c r="H39" s="94"/>
      <c r="I39" s="95"/>
      <c r="J39" s="95"/>
      <c r="K39" s="95"/>
      <c r="L39" s="95"/>
      <c r="M39" s="95"/>
      <c r="N39" s="95"/>
      <c r="O39" s="95"/>
      <c r="P39" s="195"/>
      <c r="Q39" s="195"/>
      <c r="R39" s="195"/>
      <c r="S39" s="195"/>
      <c r="T39" s="195" t="s">
        <v>377</v>
      </c>
      <c r="U39" s="195"/>
      <c r="V39" s="195" t="s">
        <v>377</v>
      </c>
      <c r="W39" s="195"/>
      <c r="X39" s="195" t="s">
        <v>377</v>
      </c>
      <c r="Y39" s="195"/>
      <c r="Z39" s="195" t="s">
        <v>377</v>
      </c>
      <c r="AA39" s="195"/>
      <c r="AB39" s="195" t="s">
        <v>377</v>
      </c>
      <c r="AC39" s="195"/>
      <c r="AD39" s="195"/>
      <c r="AE39" s="195"/>
      <c r="AF39" s="195"/>
      <c r="AG39" s="195"/>
      <c r="AH39" s="95"/>
      <c r="AI39" s="95"/>
      <c r="AJ39" s="95"/>
      <c r="AK39" s="95"/>
      <c r="AL39" s="95"/>
      <c r="AM39" s="95"/>
      <c r="AN39" s="95"/>
      <c r="AO39" s="96"/>
      <c r="AS39" s="43"/>
      <c r="AT39" s="43"/>
      <c r="AU39" s="43"/>
      <c r="AV39" s="43"/>
      <c r="AW39" s="43"/>
      <c r="AX39" s="43"/>
      <c r="AY39" s="43"/>
      <c r="AZ39" s="43"/>
      <c r="BA39" s="183"/>
      <c r="BB39" s="183"/>
      <c r="BC39" s="183"/>
      <c r="BD39" s="183"/>
      <c r="BE39" s="183" t="s">
        <v>377</v>
      </c>
      <c r="BF39" s="183"/>
      <c r="BG39" s="183" t="s">
        <v>377</v>
      </c>
      <c r="BH39" s="183"/>
      <c r="BI39" s="183" t="s">
        <v>377</v>
      </c>
      <c r="BJ39" s="183"/>
      <c r="BK39" s="183" t="s">
        <v>377</v>
      </c>
      <c r="BL39" s="183"/>
      <c r="BM39" s="183" t="s">
        <v>377</v>
      </c>
      <c r="BN39" s="183"/>
      <c r="BO39" s="183"/>
      <c r="BP39" s="183"/>
      <c r="BQ39" s="183"/>
      <c r="BR39" s="183"/>
      <c r="BS39" s="43"/>
      <c r="BT39" s="43"/>
      <c r="BU39" s="43"/>
      <c r="BV39" s="43"/>
      <c r="BW39" s="43"/>
      <c r="BX39" s="43"/>
      <c r="BY39" s="43"/>
      <c r="BZ39" s="43"/>
      <c r="CB39" s="66"/>
      <c r="CC39" s="66"/>
      <c r="CD39" s="66"/>
      <c r="CE39" s="66"/>
      <c r="CF39" s="66"/>
      <c r="CG39" s="66"/>
      <c r="CH39" s="66"/>
      <c r="CI39" s="66"/>
      <c r="CJ39" s="186"/>
      <c r="CK39" s="186"/>
      <c r="CL39" s="186"/>
      <c r="CM39" s="186"/>
      <c r="CN39" s="186">
        <v>196</v>
      </c>
      <c r="CO39" s="186"/>
      <c r="CP39" s="186">
        <v>184</v>
      </c>
      <c r="CQ39" s="186"/>
      <c r="CR39" s="186">
        <v>168</v>
      </c>
      <c r="CS39" s="186"/>
      <c r="CT39" s="186">
        <v>185</v>
      </c>
      <c r="CU39" s="186"/>
      <c r="CV39" s="186">
        <v>197</v>
      </c>
      <c r="CW39" s="186"/>
      <c r="CX39" s="186"/>
      <c r="CY39" s="186"/>
      <c r="CZ39" s="186"/>
      <c r="DA39" s="186"/>
      <c r="DB39" s="66"/>
      <c r="DC39" s="66"/>
      <c r="DD39" s="66"/>
      <c r="DE39" s="66"/>
      <c r="DF39" s="66"/>
      <c r="DG39" s="66"/>
      <c r="DH39" s="66"/>
      <c r="DI39" s="66"/>
      <c r="DK39" s="68">
        <f t="shared" si="0"/>
        <v>37.197320219666231</v>
      </c>
      <c r="DL39" s="38"/>
      <c r="DM39" s="38"/>
      <c r="DN39" s="38"/>
      <c r="DO39" s="38"/>
      <c r="DP39" s="38"/>
      <c r="DQ39" s="38"/>
      <c r="DR39" s="38"/>
      <c r="DS39" s="38"/>
      <c r="DT39" s="38"/>
      <c r="DU39" s="38"/>
      <c r="DV39" s="38"/>
      <c r="DW39" s="38"/>
      <c r="DX39" s="38"/>
    </row>
    <row r="40" spans="2:128">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DL40" s="38"/>
      <c r="DM40" s="38"/>
      <c r="DN40" s="38"/>
      <c r="DO40" s="38"/>
      <c r="DP40" s="38"/>
      <c r="DQ40" s="38"/>
      <c r="DR40" s="38"/>
      <c r="DS40" s="38"/>
      <c r="DT40" s="38"/>
      <c r="DU40" s="38"/>
      <c r="DV40" s="38"/>
      <c r="DW40" s="38"/>
      <c r="DX40" s="38"/>
    </row>
    <row r="41" spans="2:128" ht="15" customHeight="1">
      <c r="H41" s="43"/>
      <c r="I41" s="43"/>
      <c r="J41" s="43"/>
      <c r="K41" s="43"/>
      <c r="L41" s="43"/>
      <c r="M41" s="43"/>
      <c r="N41" s="43"/>
      <c r="O41" s="183"/>
      <c r="P41" s="183"/>
      <c r="Q41" s="183"/>
      <c r="R41" s="183"/>
      <c r="S41" s="183"/>
      <c r="T41" s="183"/>
      <c r="U41" s="183"/>
      <c r="V41" s="183"/>
      <c r="W41" s="183"/>
      <c r="X41" s="183"/>
      <c r="Y41" s="183"/>
      <c r="Z41" s="183"/>
      <c r="AA41" s="183"/>
      <c r="AB41" s="183"/>
      <c r="AC41" s="183"/>
      <c r="AD41" s="183"/>
      <c r="AE41" s="183"/>
      <c r="AF41" s="183"/>
      <c r="AG41" s="183"/>
      <c r="AH41" s="183"/>
      <c r="AI41" s="43"/>
      <c r="AJ41" s="43"/>
      <c r="AK41" s="43"/>
      <c r="AL41" s="43"/>
      <c r="AM41" s="43"/>
      <c r="AN41" s="43"/>
      <c r="AO41" s="43"/>
      <c r="AS41" s="45"/>
      <c r="AT41" s="45"/>
      <c r="AU41" s="45"/>
      <c r="AV41" s="45"/>
      <c r="AW41" s="45"/>
      <c r="AX41" s="45"/>
      <c r="AY41" s="45"/>
      <c r="AZ41" s="181"/>
      <c r="BA41" s="181"/>
      <c r="BB41" s="181"/>
      <c r="BC41" s="181"/>
      <c r="BD41" s="181"/>
      <c r="BE41" s="181"/>
      <c r="BF41" s="181"/>
      <c r="BG41" s="181"/>
      <c r="BH41" s="181"/>
      <c r="BI41" s="181"/>
      <c r="BJ41" s="181"/>
      <c r="BK41" s="181"/>
      <c r="BL41" s="181"/>
      <c r="BM41" s="181"/>
      <c r="BN41" s="181"/>
      <c r="BO41" s="181"/>
      <c r="BP41" s="181"/>
      <c r="BQ41" s="181"/>
      <c r="BR41" s="181"/>
      <c r="BS41" s="181"/>
      <c r="BT41" s="45"/>
      <c r="BU41" s="45"/>
      <c r="BV41" s="45"/>
      <c r="BW41" s="45"/>
      <c r="BX41" s="45"/>
      <c r="BY41" s="45"/>
      <c r="BZ41" s="45"/>
      <c r="DL41" s="38"/>
      <c r="DM41" s="38"/>
      <c r="DN41" s="38"/>
      <c r="DO41" s="38"/>
      <c r="DP41" s="38"/>
      <c r="DQ41" s="38"/>
      <c r="DR41" s="38"/>
      <c r="DS41" s="38"/>
      <c r="DT41" s="38"/>
      <c r="DU41" s="38"/>
      <c r="DV41" s="38"/>
      <c r="DW41" s="38"/>
      <c r="DX41" s="38"/>
    </row>
    <row r="42" spans="2:128" ht="15" customHeight="1">
      <c r="H42" s="43"/>
      <c r="I42" s="43"/>
      <c r="J42" s="43"/>
      <c r="K42" s="43"/>
      <c r="L42" s="43"/>
      <c r="M42" s="4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43"/>
      <c r="AK42" s="43"/>
      <c r="AL42" s="43"/>
      <c r="AM42" s="43"/>
      <c r="AN42" s="43"/>
      <c r="AO42" s="43"/>
      <c r="AS42" s="45"/>
      <c r="AT42" s="45"/>
      <c r="AU42" s="45"/>
      <c r="AV42" s="45"/>
      <c r="AW42" s="45"/>
      <c r="AX42" s="45"/>
      <c r="AY42" s="181"/>
      <c r="AZ42" s="181"/>
      <c r="BA42" s="181"/>
      <c r="BB42" s="181"/>
      <c r="BC42" s="181"/>
      <c r="BD42" s="181"/>
      <c r="BE42" s="181"/>
      <c r="BF42" s="181"/>
      <c r="BG42" s="181"/>
      <c r="BH42" s="181"/>
      <c r="BI42" s="181"/>
      <c r="BJ42" s="181"/>
      <c r="BK42" s="181"/>
      <c r="BL42" s="181"/>
      <c r="BM42" s="181"/>
      <c r="BN42" s="181"/>
      <c r="BO42" s="181"/>
      <c r="BP42" s="181"/>
      <c r="BQ42" s="181"/>
      <c r="BR42" s="181"/>
      <c r="BS42" s="181"/>
      <c r="BT42" s="181"/>
      <c r="BU42" s="45"/>
      <c r="BV42" s="45"/>
      <c r="BW42" s="45"/>
      <c r="BX42" s="45"/>
      <c r="BY42" s="45"/>
      <c r="BZ42" s="45"/>
      <c r="DL42" s="38"/>
      <c r="DM42" s="38"/>
      <c r="DN42" s="38"/>
      <c r="DO42" s="38"/>
      <c r="DP42" s="38"/>
      <c r="DQ42" s="38"/>
      <c r="DR42" s="38"/>
      <c r="DS42" s="38"/>
      <c r="DT42" s="38"/>
      <c r="DU42" s="38"/>
      <c r="DV42" s="38"/>
      <c r="DW42" s="38"/>
      <c r="DX42" s="38"/>
    </row>
    <row r="43" spans="2:128" ht="15" customHeight="1">
      <c r="H43" s="43"/>
      <c r="I43" s="43"/>
      <c r="J43" s="43"/>
      <c r="K43" s="43"/>
      <c r="L43" s="4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43"/>
      <c r="AL43" s="43"/>
      <c r="AM43" s="43"/>
      <c r="AN43" s="43"/>
      <c r="AO43" s="43"/>
      <c r="AS43" s="45"/>
      <c r="AT43" s="45"/>
      <c r="AU43" s="45"/>
      <c r="AV43" s="45"/>
      <c r="AW43" s="45"/>
      <c r="AX43" s="181"/>
      <c r="AY43" s="181"/>
      <c r="AZ43" s="181"/>
      <c r="BA43" s="181"/>
      <c r="BB43" s="181"/>
      <c r="BC43" s="181"/>
      <c r="BD43" s="181"/>
      <c r="BE43" s="181"/>
      <c r="BF43" s="181"/>
      <c r="BG43" s="181"/>
      <c r="BH43" s="181"/>
      <c r="BI43" s="181"/>
      <c r="BJ43" s="181"/>
      <c r="BK43" s="181"/>
      <c r="BL43" s="181"/>
      <c r="BM43" s="181"/>
      <c r="BN43" s="181"/>
      <c r="BO43" s="181"/>
      <c r="BP43" s="181"/>
      <c r="BQ43" s="181"/>
      <c r="BR43" s="181"/>
      <c r="BS43" s="181"/>
      <c r="BT43" s="181"/>
      <c r="BU43" s="181"/>
      <c r="BV43" s="45"/>
      <c r="BW43" s="45"/>
      <c r="BX43" s="45"/>
      <c r="BY43" s="45"/>
      <c r="BZ43" s="45"/>
      <c r="DL43" s="38"/>
      <c r="DM43" s="38"/>
      <c r="DN43" s="38"/>
      <c r="DO43" s="38"/>
      <c r="DP43" s="38"/>
      <c r="DQ43" s="38"/>
      <c r="DR43" s="38"/>
      <c r="DS43" s="38"/>
      <c r="DT43" s="38"/>
      <c r="DU43" s="38"/>
      <c r="DV43" s="38"/>
      <c r="DW43" s="38"/>
      <c r="DX43" s="38"/>
    </row>
    <row r="44" spans="2:128" ht="15" customHeight="1">
      <c r="H44" s="43"/>
      <c r="I44" s="43"/>
      <c r="J44" s="43"/>
      <c r="K44" s="4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43"/>
      <c r="AM44" s="43"/>
      <c r="AN44" s="43"/>
      <c r="AO44" s="43"/>
      <c r="AS44" s="45"/>
      <c r="AT44" s="45"/>
      <c r="AU44" s="45"/>
      <c r="AV44" s="45"/>
      <c r="AW44" s="181"/>
      <c r="AX44" s="181"/>
      <c r="AY44" s="181"/>
      <c r="AZ44" s="181"/>
      <c r="BA44" s="181"/>
      <c r="BB44" s="181"/>
      <c r="BC44" s="181"/>
      <c r="BD44" s="181"/>
      <c r="BE44" s="181"/>
      <c r="BF44" s="181"/>
      <c r="BG44" s="181"/>
      <c r="BH44" s="181"/>
      <c r="BI44" s="181"/>
      <c r="BJ44" s="181"/>
      <c r="BK44" s="181"/>
      <c r="BL44" s="181"/>
      <c r="BM44" s="181"/>
      <c r="BN44" s="181"/>
      <c r="BO44" s="181"/>
      <c r="BP44" s="181"/>
      <c r="BQ44" s="181"/>
      <c r="BR44" s="181"/>
      <c r="BS44" s="181"/>
      <c r="BT44" s="181"/>
      <c r="BU44" s="181"/>
      <c r="BV44" s="181"/>
      <c r="BW44" s="45"/>
      <c r="BX44" s="45"/>
      <c r="BY44" s="45"/>
      <c r="BZ44" s="45"/>
      <c r="DL44" s="38"/>
      <c r="DM44" s="38"/>
      <c r="DN44" s="38"/>
      <c r="DO44" s="38"/>
      <c r="DP44" s="38"/>
      <c r="DQ44" s="38"/>
      <c r="DR44" s="38"/>
      <c r="DS44" s="38"/>
      <c r="DT44" s="38"/>
      <c r="DU44" s="38"/>
      <c r="DV44" s="38"/>
      <c r="DW44" s="38"/>
      <c r="DX44" s="38"/>
    </row>
    <row r="45" spans="2:128" ht="15" customHeight="1">
      <c r="H45" s="43"/>
      <c r="I45" s="43"/>
      <c r="J45" s="4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43"/>
      <c r="AN45" s="43"/>
      <c r="AO45" s="43"/>
      <c r="AS45" s="45"/>
      <c r="AT45" s="45"/>
      <c r="AU45" s="45"/>
      <c r="AV45" s="181"/>
      <c r="AW45" s="181"/>
      <c r="AX45" s="181"/>
      <c r="AY45" s="181"/>
      <c r="AZ45" s="181"/>
      <c r="BA45" s="181"/>
      <c r="BB45" s="181"/>
      <c r="BC45" s="181"/>
      <c r="BD45" s="181"/>
      <c r="BE45" s="181"/>
      <c r="BF45" s="181"/>
      <c r="BG45" s="181"/>
      <c r="BH45" s="181"/>
      <c r="BI45" s="181"/>
      <c r="BJ45" s="181"/>
      <c r="BK45" s="181"/>
      <c r="BL45" s="181"/>
      <c r="BM45" s="181"/>
      <c r="BN45" s="181"/>
      <c r="BO45" s="181"/>
      <c r="BP45" s="181"/>
      <c r="BQ45" s="181"/>
      <c r="BR45" s="181"/>
      <c r="BS45" s="181"/>
      <c r="BT45" s="181"/>
      <c r="BU45" s="181"/>
      <c r="BV45" s="181"/>
      <c r="BW45" s="181"/>
      <c r="BX45" s="45"/>
      <c r="BY45" s="45"/>
      <c r="BZ45" s="45"/>
      <c r="DL45" s="38"/>
      <c r="DM45" s="38"/>
      <c r="DN45" s="38"/>
      <c r="DO45" s="38"/>
      <c r="DP45" s="38"/>
      <c r="DQ45" s="38"/>
      <c r="DR45" s="38"/>
      <c r="DS45" s="38"/>
      <c r="DT45" s="38"/>
      <c r="DU45" s="38"/>
      <c r="DV45" s="38"/>
      <c r="DW45" s="38"/>
      <c r="DX45" s="38"/>
    </row>
    <row r="46" spans="2:128" ht="15" customHeight="1">
      <c r="H46" s="43"/>
      <c r="I46" s="4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43"/>
      <c r="AO46" s="43"/>
      <c r="AS46" s="45"/>
      <c r="AT46" s="45"/>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181"/>
      <c r="BQ46" s="181"/>
      <c r="BR46" s="181"/>
      <c r="BS46" s="181"/>
      <c r="BT46" s="181"/>
      <c r="BU46" s="181"/>
      <c r="BV46" s="181"/>
      <c r="BW46" s="181"/>
      <c r="BX46" s="181"/>
      <c r="BY46" s="45"/>
      <c r="BZ46" s="45"/>
      <c r="DL46" s="38"/>
      <c r="DM46" s="38"/>
      <c r="DN46" s="38"/>
      <c r="DO46" s="38"/>
      <c r="DP46" s="38"/>
      <c r="DQ46" s="38"/>
      <c r="DR46" s="38"/>
      <c r="DS46" s="38"/>
      <c r="DT46" s="38"/>
      <c r="DU46" s="38"/>
      <c r="DV46" s="38"/>
      <c r="DW46" s="38"/>
      <c r="DX46" s="38"/>
    </row>
    <row r="47" spans="2:128" ht="15" customHeight="1">
      <c r="H47" s="4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43"/>
      <c r="AS47" s="45"/>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1"/>
      <c r="BQ47" s="181"/>
      <c r="BR47" s="181"/>
      <c r="BS47" s="181"/>
      <c r="BT47" s="181"/>
      <c r="BU47" s="181"/>
      <c r="BV47" s="181"/>
      <c r="BW47" s="181"/>
      <c r="BX47" s="181"/>
      <c r="BY47" s="181"/>
      <c r="BZ47" s="45"/>
      <c r="DL47" s="38"/>
      <c r="DM47" s="38"/>
      <c r="DN47" s="38"/>
      <c r="DO47" s="38"/>
      <c r="DP47" s="38"/>
      <c r="DQ47" s="38"/>
      <c r="DR47" s="38"/>
      <c r="DS47" s="38"/>
      <c r="DT47" s="38"/>
      <c r="DU47" s="38"/>
      <c r="DV47" s="38"/>
      <c r="DW47" s="38"/>
      <c r="DX47" s="38"/>
    </row>
    <row r="48" spans="2:128" ht="15" customHeight="1">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1"/>
      <c r="BQ48" s="181"/>
      <c r="BR48" s="181"/>
      <c r="BS48" s="181"/>
      <c r="BT48" s="181"/>
      <c r="BU48" s="181"/>
      <c r="BV48" s="181"/>
      <c r="BW48" s="181"/>
      <c r="BX48" s="181"/>
      <c r="BY48" s="181"/>
      <c r="BZ48" s="181"/>
      <c r="DL48" s="38"/>
      <c r="DM48" s="38"/>
      <c r="DN48" s="38"/>
      <c r="DO48" s="38"/>
      <c r="DP48" s="38"/>
      <c r="DQ48" s="38"/>
      <c r="DR48" s="38"/>
      <c r="DS48" s="38"/>
      <c r="DT48" s="38"/>
      <c r="DU48" s="38"/>
      <c r="DV48" s="38"/>
      <c r="DW48" s="38"/>
      <c r="DX48" s="38"/>
    </row>
    <row r="49" spans="2:128" ht="15" customHeight="1">
      <c r="H49" s="4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43"/>
      <c r="AS49" s="45"/>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1"/>
      <c r="BR49" s="181"/>
      <c r="BS49" s="181"/>
      <c r="BT49" s="181"/>
      <c r="BU49" s="181"/>
      <c r="BV49" s="181"/>
      <c r="BW49" s="181"/>
      <c r="BX49" s="181"/>
      <c r="BY49" s="181"/>
      <c r="BZ49" s="45"/>
      <c r="DL49" s="38"/>
      <c r="DM49" s="38"/>
      <c r="DN49" s="38"/>
      <c r="DO49" s="38"/>
      <c r="DP49" s="38"/>
      <c r="DQ49" s="38"/>
      <c r="DR49" s="38"/>
      <c r="DS49" s="38"/>
      <c r="DT49" s="38"/>
      <c r="DU49" s="38"/>
      <c r="DV49" s="38"/>
      <c r="DW49" s="38"/>
      <c r="DX49" s="38"/>
    </row>
    <row r="50" spans="2:128" ht="15" customHeight="1">
      <c r="H50" s="43"/>
      <c r="I50" s="4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43"/>
      <c r="AO50" s="43"/>
      <c r="AS50" s="45"/>
      <c r="AT50" s="45"/>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1"/>
      <c r="BR50" s="181"/>
      <c r="BS50" s="181"/>
      <c r="BT50" s="181"/>
      <c r="BU50" s="181"/>
      <c r="BV50" s="181"/>
      <c r="BW50" s="181"/>
      <c r="BX50" s="181"/>
      <c r="BY50" s="45"/>
      <c r="BZ50" s="45"/>
      <c r="DL50" s="38"/>
      <c r="DM50" s="38"/>
      <c r="DN50" s="38"/>
      <c r="DO50" s="38"/>
      <c r="DP50" s="38"/>
      <c r="DQ50" s="38"/>
      <c r="DR50" s="38"/>
      <c r="DS50" s="38"/>
      <c r="DT50" s="38"/>
      <c r="DU50" s="38"/>
      <c r="DV50" s="38"/>
      <c r="DW50" s="38"/>
      <c r="DX50" s="38"/>
    </row>
    <row r="51" spans="2:128" ht="15" customHeight="1">
      <c r="H51" s="43"/>
      <c r="I51" s="43"/>
      <c r="J51" s="4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43"/>
      <c r="AN51" s="43"/>
      <c r="AO51" s="43"/>
      <c r="AS51" s="45"/>
      <c r="AT51" s="45"/>
      <c r="AU51" s="45"/>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1"/>
      <c r="BR51" s="181"/>
      <c r="BS51" s="181"/>
      <c r="BT51" s="181"/>
      <c r="BU51" s="181"/>
      <c r="BV51" s="181"/>
      <c r="BW51" s="181"/>
      <c r="BX51" s="45"/>
      <c r="BY51" s="45"/>
      <c r="BZ51" s="45"/>
      <c r="DL51" s="38"/>
      <c r="DM51" s="38"/>
      <c r="DN51" s="38"/>
      <c r="DO51" s="38"/>
      <c r="DP51" s="38"/>
      <c r="DQ51" s="38"/>
      <c r="DR51" s="38"/>
      <c r="DS51" s="38"/>
      <c r="DT51" s="38"/>
      <c r="DU51" s="38"/>
      <c r="DV51" s="38"/>
      <c r="DW51" s="38"/>
      <c r="DX51" s="38"/>
    </row>
    <row r="52" spans="2:128" ht="15" customHeight="1">
      <c r="H52" s="43"/>
      <c r="I52" s="43"/>
      <c r="J52" s="43"/>
      <c r="K52" s="4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43"/>
      <c r="AM52" s="43"/>
      <c r="AN52" s="43"/>
      <c r="AO52" s="43"/>
      <c r="AS52" s="45"/>
      <c r="AT52" s="45"/>
      <c r="AU52" s="45"/>
      <c r="AV52" s="45"/>
      <c r="AW52" s="181"/>
      <c r="AX52" s="181"/>
      <c r="AY52" s="181"/>
      <c r="AZ52" s="181"/>
      <c r="BA52" s="181"/>
      <c r="BB52" s="181"/>
      <c r="BC52" s="181"/>
      <c r="BD52" s="181"/>
      <c r="BE52" s="181"/>
      <c r="BF52" s="181"/>
      <c r="BG52" s="181"/>
      <c r="BH52" s="181"/>
      <c r="BI52" s="181"/>
      <c r="BJ52" s="181"/>
      <c r="BK52" s="181"/>
      <c r="BL52" s="181"/>
      <c r="BM52" s="181"/>
      <c r="BN52" s="181"/>
      <c r="BO52" s="181"/>
      <c r="BP52" s="181"/>
      <c r="BQ52" s="181"/>
      <c r="BR52" s="181"/>
      <c r="BS52" s="181"/>
      <c r="BT52" s="181"/>
      <c r="BU52" s="181"/>
      <c r="BV52" s="181"/>
      <c r="BW52" s="45"/>
      <c r="BX52" s="45"/>
      <c r="BY52" s="45"/>
      <c r="BZ52" s="45"/>
      <c r="DL52" s="38"/>
      <c r="DM52" s="38"/>
      <c r="DN52" s="38"/>
      <c r="DO52" s="38"/>
      <c r="DP52" s="38"/>
      <c r="DQ52" s="38"/>
      <c r="DR52" s="38"/>
      <c r="DS52" s="38"/>
      <c r="DT52" s="38"/>
      <c r="DU52" s="38"/>
      <c r="DV52" s="38"/>
      <c r="DW52" s="38"/>
      <c r="DX52" s="38"/>
    </row>
    <row r="53" spans="2:128">
      <c r="B53" s="33" t="s">
        <v>238</v>
      </c>
      <c r="C53" s="33" t="s">
        <v>241</v>
      </c>
      <c r="H53" s="43"/>
      <c r="I53" s="43"/>
      <c r="J53" s="43"/>
      <c r="K53" s="43"/>
      <c r="L53" s="4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43"/>
      <c r="AL53" s="43"/>
      <c r="AM53" s="43"/>
      <c r="AN53" s="43"/>
      <c r="AO53" s="43"/>
      <c r="AS53" s="45"/>
      <c r="AT53" s="45"/>
      <c r="AU53" s="45"/>
      <c r="AV53" s="45"/>
      <c r="AW53" s="45"/>
      <c r="AX53" s="181"/>
      <c r="AY53" s="181"/>
      <c r="AZ53" s="181"/>
      <c r="BA53" s="181"/>
      <c r="BB53" s="181"/>
      <c r="BC53" s="181"/>
      <c r="BD53" s="181"/>
      <c r="BE53" s="181"/>
      <c r="BF53" s="181"/>
      <c r="BG53" s="181"/>
      <c r="BH53" s="181"/>
      <c r="BI53" s="181"/>
      <c r="BJ53" s="181"/>
      <c r="BK53" s="181"/>
      <c r="BL53" s="181"/>
      <c r="BM53" s="181"/>
      <c r="BN53" s="181"/>
      <c r="BO53" s="181"/>
      <c r="BP53" s="181"/>
      <c r="BQ53" s="181"/>
      <c r="BR53" s="181"/>
      <c r="BS53" s="181"/>
      <c r="BT53" s="181"/>
      <c r="BU53" s="181"/>
      <c r="BV53" s="45"/>
      <c r="BW53" s="45"/>
      <c r="BX53" s="45"/>
      <c r="BY53" s="45"/>
      <c r="BZ53" s="45"/>
      <c r="DL53" s="38"/>
      <c r="DM53" s="38"/>
      <c r="DN53" s="38"/>
      <c r="DO53" s="38"/>
      <c r="DP53" s="38"/>
      <c r="DQ53" s="38"/>
      <c r="DR53" s="38"/>
      <c r="DS53" s="38"/>
      <c r="DT53" s="38"/>
      <c r="DU53" s="38"/>
      <c r="DV53" s="38"/>
      <c r="DW53" s="38"/>
      <c r="DX53" s="38"/>
    </row>
    <row r="54" spans="2:128">
      <c r="B54" s="33" t="s">
        <v>239</v>
      </c>
      <c r="C54" s="33" t="s">
        <v>242</v>
      </c>
      <c r="H54" s="43"/>
      <c r="I54" s="43"/>
      <c r="J54" s="43"/>
      <c r="K54" s="43"/>
      <c r="L54" s="43"/>
      <c r="M54" s="4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43"/>
      <c r="AK54" s="43"/>
      <c r="AL54" s="43"/>
      <c r="AM54" s="43"/>
      <c r="AN54" s="43"/>
      <c r="AO54" s="43"/>
      <c r="AS54" s="45"/>
      <c r="AT54" s="45"/>
      <c r="AU54" s="45"/>
      <c r="AV54" s="45"/>
      <c r="AW54" s="45"/>
      <c r="AX54" s="45"/>
      <c r="AY54" s="181"/>
      <c r="AZ54" s="181"/>
      <c r="BA54" s="181"/>
      <c r="BB54" s="181"/>
      <c r="BC54" s="181"/>
      <c r="BD54" s="181"/>
      <c r="BE54" s="181"/>
      <c r="BF54" s="181"/>
      <c r="BG54" s="181"/>
      <c r="BH54" s="181"/>
      <c r="BI54" s="181"/>
      <c r="BJ54" s="181"/>
      <c r="BK54" s="181"/>
      <c r="BL54" s="181"/>
      <c r="BM54" s="181"/>
      <c r="BN54" s="181"/>
      <c r="BO54" s="181"/>
      <c r="BP54" s="181"/>
      <c r="BQ54" s="181"/>
      <c r="BR54" s="181"/>
      <c r="BS54" s="181"/>
      <c r="BT54" s="181"/>
      <c r="BU54" s="45"/>
      <c r="BV54" s="45"/>
      <c r="BW54" s="45"/>
      <c r="BX54" s="45"/>
      <c r="BY54" s="45"/>
      <c r="BZ54" s="45"/>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row>
    <row r="55" spans="2:128">
      <c r="B55" s="33" t="s">
        <v>240</v>
      </c>
      <c r="C55" s="33" t="s">
        <v>243</v>
      </c>
      <c r="H55" s="43"/>
      <c r="I55" s="43"/>
      <c r="J55" s="43"/>
      <c r="K55" s="43"/>
      <c r="L55" s="43"/>
      <c r="M55" s="43"/>
      <c r="N55" s="43"/>
      <c r="O55" s="183"/>
      <c r="P55" s="183"/>
      <c r="Q55" s="183"/>
      <c r="R55" s="183"/>
      <c r="S55" s="183"/>
      <c r="T55" s="183"/>
      <c r="U55" s="183"/>
      <c r="V55" s="183"/>
      <c r="W55" s="183"/>
      <c r="X55" s="183"/>
      <c r="Y55" s="183"/>
      <c r="Z55" s="183"/>
      <c r="AA55" s="183"/>
      <c r="AB55" s="183"/>
      <c r="AC55" s="183"/>
      <c r="AD55" s="183"/>
      <c r="AE55" s="183"/>
      <c r="AF55" s="183"/>
      <c r="AG55" s="183"/>
      <c r="AH55" s="183"/>
      <c r="AI55" s="43"/>
      <c r="AJ55" s="43"/>
      <c r="AK55" s="43"/>
      <c r="AL55" s="43"/>
      <c r="AM55" s="43"/>
      <c r="AN55" s="43"/>
      <c r="AO55" s="43"/>
      <c r="AS55" s="45"/>
      <c r="AT55" s="45"/>
      <c r="AU55" s="45"/>
      <c r="AV55" s="45"/>
      <c r="AW55" s="45"/>
      <c r="AX55" s="45"/>
      <c r="AY55" s="45"/>
      <c r="AZ55" s="181"/>
      <c r="BA55" s="181"/>
      <c r="BB55" s="181"/>
      <c r="BC55" s="181"/>
      <c r="BD55" s="181"/>
      <c r="BE55" s="181"/>
      <c r="BF55" s="181"/>
      <c r="BG55" s="181"/>
      <c r="BH55" s="181"/>
      <c r="BI55" s="181"/>
      <c r="BJ55" s="181"/>
      <c r="BK55" s="181"/>
      <c r="BL55" s="181"/>
      <c r="BM55" s="181"/>
      <c r="BN55" s="181"/>
      <c r="BO55" s="181"/>
      <c r="BP55" s="181"/>
      <c r="BQ55" s="181"/>
      <c r="BR55" s="181"/>
      <c r="BS55" s="181"/>
      <c r="BT55" s="45"/>
      <c r="BU55" s="45"/>
      <c r="BV55" s="45"/>
      <c r="BW55" s="45"/>
      <c r="BX55" s="45"/>
      <c r="BY55" s="45"/>
      <c r="BZ55" s="45"/>
      <c r="CA55" s="38"/>
      <c r="CB55" s="38"/>
      <c r="CC55" s="38"/>
      <c r="CD55" s="38"/>
      <c r="CE55" s="38"/>
      <c r="CF55" s="38"/>
      <c r="CG55" s="38"/>
      <c r="CH55" s="38"/>
      <c r="CI55" s="38"/>
      <c r="CJ55" s="38"/>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c r="DX55" s="38"/>
    </row>
    <row r="56" spans="2:128">
      <c r="H56" s="43"/>
      <c r="I56" s="43"/>
      <c r="J56" s="43"/>
      <c r="K56" s="43"/>
      <c r="L56" s="43"/>
      <c r="M56" s="43"/>
      <c r="N56" s="43"/>
      <c r="O56" s="43"/>
      <c r="P56" s="183"/>
      <c r="Q56" s="183"/>
      <c r="R56" s="183"/>
      <c r="S56" s="183"/>
      <c r="T56" s="183"/>
      <c r="U56" s="183"/>
      <c r="V56" s="183"/>
      <c r="W56" s="183"/>
      <c r="X56" s="183"/>
      <c r="Y56" s="183"/>
      <c r="Z56" s="183"/>
      <c r="AA56" s="183"/>
      <c r="AB56" s="183"/>
      <c r="AC56" s="183"/>
      <c r="AD56" s="183"/>
      <c r="AE56" s="183"/>
      <c r="AF56" s="183"/>
      <c r="AG56" s="183"/>
      <c r="AH56" s="43"/>
      <c r="AI56" s="43"/>
      <c r="AJ56" s="43"/>
      <c r="AK56" s="43"/>
      <c r="AL56" s="43"/>
      <c r="AM56" s="43"/>
      <c r="AN56" s="43"/>
      <c r="AO56" s="43"/>
      <c r="AS56" s="45"/>
      <c r="AT56" s="45"/>
      <c r="AU56" s="45"/>
      <c r="AV56" s="45"/>
      <c r="AW56" s="45"/>
      <c r="AX56" s="45"/>
      <c r="AY56" s="45"/>
      <c r="AZ56" s="45"/>
      <c r="BA56" s="181"/>
      <c r="BB56" s="181"/>
      <c r="BC56" s="181"/>
      <c r="BD56" s="181"/>
      <c r="BE56" s="181"/>
      <c r="BF56" s="181"/>
      <c r="BG56" s="181"/>
      <c r="BH56" s="181"/>
      <c r="BI56" s="181"/>
      <c r="BJ56" s="181"/>
      <c r="BK56" s="181"/>
      <c r="BL56" s="181"/>
      <c r="BM56" s="181"/>
      <c r="BN56" s="181"/>
      <c r="BO56" s="181"/>
      <c r="BP56" s="181"/>
      <c r="BQ56" s="181"/>
      <c r="BR56" s="181"/>
      <c r="BS56" s="45"/>
      <c r="BT56" s="45"/>
      <c r="BU56" s="45"/>
      <c r="BV56" s="45"/>
      <c r="BW56" s="45"/>
      <c r="BX56" s="45"/>
      <c r="BY56" s="45"/>
      <c r="BZ56" s="45"/>
      <c r="CA56" s="38"/>
      <c r="CB56" s="38"/>
      <c r="CC56" s="38"/>
      <c r="CD56" s="38"/>
      <c r="CE56" s="38"/>
      <c r="CF56" s="38"/>
      <c r="CG56" s="38"/>
      <c r="CH56" s="38"/>
      <c r="CI56" s="38"/>
      <c r="CJ56" s="38"/>
      <c r="CK56" s="38"/>
      <c r="CL56" s="38"/>
      <c r="CM56" s="38"/>
      <c r="CN56" s="38"/>
      <c r="CO56" s="38"/>
      <c r="CP56" s="38"/>
      <c r="CQ56" s="38"/>
      <c r="CR56" s="38"/>
      <c r="CS56" s="38"/>
      <c r="CT56" s="38"/>
      <c r="CU56" s="38"/>
      <c r="CV56" s="38"/>
      <c r="CW56" s="38"/>
      <c r="CX56" s="38"/>
      <c r="CY56" s="38"/>
      <c r="CZ56" s="38"/>
      <c r="DA56" s="38"/>
      <c r="DB56" s="38"/>
      <c r="DC56" s="38"/>
      <c r="DD56" s="38"/>
      <c r="DE56" s="38"/>
      <c r="DF56" s="38"/>
      <c r="DG56" s="38"/>
      <c r="DH56" s="38"/>
      <c r="DI56" s="38"/>
      <c r="DJ56" s="38"/>
      <c r="DK56" s="38"/>
      <c r="DL56" s="38"/>
      <c r="DM56" s="38"/>
      <c r="DN56" s="38"/>
      <c r="DO56" s="38"/>
      <c r="DP56" s="38"/>
      <c r="DQ56" s="38"/>
      <c r="DR56" s="38"/>
      <c r="DS56" s="38"/>
      <c r="DT56" s="38"/>
      <c r="DU56" s="38"/>
      <c r="DV56" s="38"/>
      <c r="DW56" s="38"/>
      <c r="DX56" s="38"/>
    </row>
    <row r="64" spans="2:128">
      <c r="B64" s="34" t="s">
        <v>206</v>
      </c>
      <c r="C64" s="51">
        <v>35</v>
      </c>
      <c r="D64" s="52" t="str">
        <f>IF(C64&lt;20,"→ shall be 20°C minimum","")</f>
        <v/>
      </c>
    </row>
    <row r="65" spans="2:4">
      <c r="C65" s="38"/>
    </row>
    <row r="66" spans="2:4">
      <c r="B66" s="55" t="s">
        <v>207</v>
      </c>
      <c r="C66" s="56"/>
    </row>
    <row r="67" spans="2:4">
      <c r="B67" s="57" t="s">
        <v>208</v>
      </c>
      <c r="C67" s="58">
        <v>7</v>
      </c>
      <c r="D67" s="52" t="str">
        <f>IF(C67&lt;0,"→ shall not be negative",IF(C67+C68&gt;90,"→ L1+L2 shall not exceed 90m",IF(C67+C68&lt;10,"→ L1+L2 shall be greater than 10m","")))</f>
        <v>→ L1+L2 shall be greater than 10m</v>
      </c>
    </row>
    <row r="68" spans="2:4">
      <c r="B68" s="59" t="s">
        <v>209</v>
      </c>
      <c r="C68" s="60">
        <v>0</v>
      </c>
      <c r="D68" s="52" t="str">
        <f>IF(C68&lt;0,"→ shall not be negative","")</f>
        <v/>
      </c>
    </row>
    <row r="69" spans="2:4">
      <c r="B69" s="61" t="s">
        <v>210</v>
      </c>
      <c r="C69" s="60">
        <v>60</v>
      </c>
      <c r="D69" s="52" t="str">
        <f>IF(OR(C69&gt;10,C69&lt;1),"→ shall be between 1 and 10m","")</f>
        <v>→ shall be between 1 and 10m</v>
      </c>
    </row>
    <row r="70" spans="2:4">
      <c r="B70" s="34" t="s">
        <v>211</v>
      </c>
      <c r="C70" s="62">
        <v>2</v>
      </c>
      <c r="D70" s="52" t="str">
        <f>IF(OR(C70&gt;4,C70&lt;2),"→ shall be between 2 and 4 connections",IF(INT(C70)=C70,"","→ shall be integer"))</f>
        <v/>
      </c>
    </row>
    <row r="74" spans="2:4">
      <c r="C74" s="63" t="s">
        <v>212</v>
      </c>
      <c r="D74" s="63" t="s">
        <v>213</v>
      </c>
    </row>
    <row r="75" spans="2:4">
      <c r="B75" s="34" t="s">
        <v>214</v>
      </c>
      <c r="C75" s="64" t="s">
        <v>21</v>
      </c>
      <c r="D75" s="46" t="s">
        <v>20</v>
      </c>
    </row>
    <row r="76" spans="2:4">
      <c r="B76" s="34" t="s">
        <v>215</v>
      </c>
      <c r="C76" s="65" t="s">
        <v>378</v>
      </c>
      <c r="D76" s="65" t="s">
        <v>378</v>
      </c>
    </row>
    <row r="77" spans="2:4">
      <c r="B77" s="34" t="s">
        <v>216</v>
      </c>
      <c r="C77" s="69">
        <v>12</v>
      </c>
      <c r="D77" s="70">
        <v>12</v>
      </c>
    </row>
    <row r="78" spans="2:4">
      <c r="B78" s="187" t="s">
        <v>217</v>
      </c>
      <c r="C78" s="188" t="s">
        <v>89</v>
      </c>
      <c r="D78" s="190" t="s">
        <v>89</v>
      </c>
    </row>
    <row r="79" spans="2:4">
      <c r="B79" s="187"/>
      <c r="C79" s="189"/>
      <c r="D79" s="191"/>
    </row>
    <row r="81" spans="2:4">
      <c r="B81" s="55" t="s">
        <v>218</v>
      </c>
      <c r="C81" s="74"/>
      <c r="D81" s="75"/>
    </row>
    <row r="82" spans="2:4">
      <c r="B82" s="57" t="s">
        <v>219</v>
      </c>
      <c r="C82" s="76">
        <f>IF(C75="","",IF(ISERR(C83-$C64),"",C83-$C64))</f>
        <v>3.1428984924120797</v>
      </c>
      <c r="D82" s="77">
        <f>IF(D75="","",IF(ISERR(D83-$C64),"",D83-$C64))</f>
        <v>14.429873652742309</v>
      </c>
    </row>
    <row r="83" spans="2:4">
      <c r="B83" s="57" t="s">
        <v>220</v>
      </c>
      <c r="C83" s="76">
        <v>38.14289849241208</v>
      </c>
      <c r="D83" s="77">
        <v>49.429873652742309</v>
      </c>
    </row>
    <row r="84" spans="2:4">
      <c r="B84" s="78" t="s">
        <v>221</v>
      </c>
      <c r="C84" s="79">
        <f>IF(C75="","",IF(ISERR(($C68+IF(C83&lt;40,$C67*(1+(C83-20)*C104),$C67*(1+20*C104+(C83-40)*C105)))/90),"",($C68+IF(C83&lt;40,$C67*(1+(C83-20)*C104),$C67*(1+20*C104+(C83-40)*C105)))/90))</f>
        <v>8.3422235086528199E-2</v>
      </c>
      <c r="D84" s="80">
        <f>IF(D75="","",IF(ISERR(($C68+IF(D83&lt;40,$C67*(1+(D83-20)*D104),$C67*(1+20*D104+(D83-40)*D105)))/90),"",($C68+IF(D83&lt;40,$C67*(1+(D83-20)*D104),$C67*(1+20*D104+(D83-40)*D105)))/90))</f>
        <v>8.8400607704613082E-2</v>
      </c>
    </row>
    <row r="85" spans="2:4">
      <c r="B85" s="34" t="s">
        <v>222</v>
      </c>
      <c r="C85" s="81">
        <v>8.7689023360521503</v>
      </c>
      <c r="D85" s="81">
        <v>10.65391259390009</v>
      </c>
    </row>
    <row r="86" spans="2:4">
      <c r="B86" s="34" t="s">
        <v>223</v>
      </c>
      <c r="C86" s="82">
        <f>IF(C75="","",IF(ISERR(1-C85/(C85+$F4)),"",1-C85/(C85+$F4)))</f>
        <v>0.89048304547439971</v>
      </c>
      <c r="D86" s="82">
        <f>IF(D75="","",IF(ISERR(1-D85/(D85+$F4)),"",1-D85/(D85+$F4)))</f>
        <v>0.87000117191850734</v>
      </c>
    </row>
    <row r="94" spans="2:4">
      <c r="B94" s="33" t="s">
        <v>224</v>
      </c>
      <c r="C94" s="33">
        <v>5</v>
      </c>
      <c r="D94" s="33">
        <v>5</v>
      </c>
    </row>
    <row r="95" spans="2:4">
      <c r="B95" s="33" t="s">
        <v>183</v>
      </c>
      <c r="C95" s="33">
        <v>5.9</v>
      </c>
      <c r="D95" s="33">
        <v>3.8</v>
      </c>
    </row>
    <row r="96" spans="2:4">
      <c r="B96" s="33" t="s">
        <v>225</v>
      </c>
      <c r="C96" s="33">
        <v>0.15</v>
      </c>
      <c r="D96" s="33">
        <v>0.15</v>
      </c>
    </row>
    <row r="97" spans="2:4">
      <c r="B97" s="33" t="s">
        <v>226</v>
      </c>
      <c r="C97" s="83">
        <v>0.51677576787726409</v>
      </c>
      <c r="D97" s="83">
        <v>1.5598970974076469</v>
      </c>
    </row>
    <row r="98" spans="2:4">
      <c r="B98" s="33" t="s">
        <v>227</v>
      </c>
      <c r="C98" s="83">
        <f>C97*(1+0.0039*($C$64-20))</f>
        <v>0.547007150298084</v>
      </c>
      <c r="D98" s="83">
        <f>D97*(1+0.0039*($C$64-20))</f>
        <v>1.6511510776059943</v>
      </c>
    </row>
    <row r="99" spans="2:4">
      <c r="B99" s="33" t="s">
        <v>228</v>
      </c>
      <c r="C99" s="84">
        <f>C98*4/$F$6</f>
        <v>0.273503575149042</v>
      </c>
      <c r="D99" s="84">
        <f>D98*4/$F$6</f>
        <v>0.82557553880299717</v>
      </c>
    </row>
    <row r="100" spans="2:4">
      <c r="B100" s="33" t="s">
        <v>229</v>
      </c>
      <c r="C100" s="84">
        <f>C97*1.5*4/$F6/$C67*$C69</f>
        <v>3.3221299363538406</v>
      </c>
      <c r="D100" s="84">
        <f>C100</f>
        <v>3.3221299363538406</v>
      </c>
    </row>
    <row r="101" spans="2:4">
      <c r="B101" s="33" t="s">
        <v>230</v>
      </c>
      <c r="C101" s="84">
        <f>C97*4/$F6/$C67*$C68</f>
        <v>0</v>
      </c>
      <c r="D101" s="84">
        <f>D97*4/$F6/$C67*$C68</f>
        <v>0</v>
      </c>
    </row>
    <row r="102" spans="2:4">
      <c r="B102" s="33" t="s">
        <v>231</v>
      </c>
      <c r="C102" s="84">
        <f>0.1*$C70*4/$F6</f>
        <v>0.1</v>
      </c>
      <c r="D102" s="84">
        <f>0.1*$C70*4/$F6</f>
        <v>0.1</v>
      </c>
    </row>
    <row r="103" spans="2:4">
      <c r="B103" s="33" t="s">
        <v>232</v>
      </c>
      <c r="C103" s="85">
        <f>($F$5-($F$5^2-4*SUM(C99:C102)*$F$4)^0.5)/2/SUM(C99:C102)</f>
        <v>1.6199689842664413</v>
      </c>
      <c r="D103" s="85">
        <f>($F$5-($F$5^2-4*SUM(D99:D102)*$F$4)^0.5)/2/SUM(D99:D102)</f>
        <v>1.6601386523480941</v>
      </c>
    </row>
    <row r="104" spans="2:4">
      <c r="B104" s="33" t="s">
        <v>12</v>
      </c>
      <c r="C104" s="86">
        <v>4.0000000000000001E-3</v>
      </c>
      <c r="D104" s="86">
        <v>4.0000000000000001E-3</v>
      </c>
    </row>
    <row r="105" spans="2:4">
      <c r="B105" s="33" t="s">
        <v>13</v>
      </c>
      <c r="C105" s="86">
        <v>6.0000000000000001E-3</v>
      </c>
      <c r="D105" s="86">
        <v>6.0000000000000001E-3</v>
      </c>
    </row>
  </sheetData>
  <mergeCells count="1120">
    <mergeCell ref="E21:F21"/>
    <mergeCell ref="E22:F22"/>
    <mergeCell ref="E23:F23"/>
    <mergeCell ref="E15:AO15"/>
    <mergeCell ref="E16:F16"/>
    <mergeCell ref="E17:F17"/>
    <mergeCell ref="E18:F18"/>
    <mergeCell ref="E19:F19"/>
    <mergeCell ref="E20:F20"/>
    <mergeCell ref="R22:S22"/>
    <mergeCell ref="P22:Q22"/>
    <mergeCell ref="N22:O22"/>
    <mergeCell ref="S26:T26"/>
    <mergeCell ref="Q26:R26"/>
    <mergeCell ref="O26:P26"/>
    <mergeCell ref="M26:N26"/>
    <mergeCell ref="R25:S25"/>
    <mergeCell ref="P25:Q25"/>
    <mergeCell ref="N25:O25"/>
    <mergeCell ref="T25:U25"/>
    <mergeCell ref="V25:W25"/>
    <mergeCell ref="X25:Y25"/>
    <mergeCell ref="Z25:AA25"/>
    <mergeCell ref="AB25:AC25"/>
    <mergeCell ref="AD25:AE25"/>
    <mergeCell ref="AD22:AE22"/>
    <mergeCell ref="AB22:AC22"/>
    <mergeCell ref="Z22:AA22"/>
    <mergeCell ref="X22:Y22"/>
    <mergeCell ref="V22:W22"/>
    <mergeCell ref="T22:U22"/>
    <mergeCell ref="BS54:BT54"/>
    <mergeCell ref="BT53:BU53"/>
    <mergeCell ref="BH53:BI53"/>
    <mergeCell ref="P56:Q56"/>
    <mergeCell ref="R56:S56"/>
    <mergeCell ref="T56:U56"/>
    <mergeCell ref="V56:W56"/>
    <mergeCell ref="X56:Y56"/>
    <mergeCell ref="AG55:AH55"/>
    <mergeCell ref="AZ55:BA55"/>
    <mergeCell ref="AY54:AZ54"/>
    <mergeCell ref="BA54:BB54"/>
    <mergeCell ref="BC54:BD54"/>
    <mergeCell ref="BE54:BF54"/>
    <mergeCell ref="AX53:AY53"/>
    <mergeCell ref="AZ53:BA53"/>
    <mergeCell ref="BB53:BC53"/>
    <mergeCell ref="BD53:BE53"/>
    <mergeCell ref="BF53:BG53"/>
    <mergeCell ref="W53:X53"/>
    <mergeCell ref="Y53:Z53"/>
    <mergeCell ref="AA53:AB53"/>
    <mergeCell ref="BQ56:BR56"/>
    <mergeCell ref="BE56:BF56"/>
    <mergeCell ref="BG56:BH56"/>
    <mergeCell ref="BI56:BJ56"/>
    <mergeCell ref="BK56:BL56"/>
    <mergeCell ref="BM56:BN56"/>
    <mergeCell ref="BO56:BP56"/>
    <mergeCell ref="Z56:AA56"/>
    <mergeCell ref="AB56:AC56"/>
    <mergeCell ref="AD56:AE56"/>
    <mergeCell ref="AF56:AG56"/>
    <mergeCell ref="BA56:BB56"/>
    <mergeCell ref="BC56:BD56"/>
    <mergeCell ref="BN53:BO53"/>
    <mergeCell ref="BP53:BQ53"/>
    <mergeCell ref="BR53:BS53"/>
    <mergeCell ref="AI53:AJ53"/>
    <mergeCell ref="BJ55:BK55"/>
    <mergeCell ref="BL55:BM55"/>
    <mergeCell ref="BN55:BO55"/>
    <mergeCell ref="BP55:BQ55"/>
    <mergeCell ref="BR55:BS55"/>
    <mergeCell ref="Y24:Z24"/>
    <mergeCell ref="BB55:BC55"/>
    <mergeCell ref="BD55:BE55"/>
    <mergeCell ref="BF55:BG55"/>
    <mergeCell ref="AC53:AD53"/>
    <mergeCell ref="AE53:AF53"/>
    <mergeCell ref="AG53:AH53"/>
    <mergeCell ref="BQ54:BR54"/>
    <mergeCell ref="BJ51:BK51"/>
    <mergeCell ref="BL51:BM51"/>
    <mergeCell ref="BN51:BO51"/>
    <mergeCell ref="BP51:BQ51"/>
    <mergeCell ref="BR51:BS51"/>
    <mergeCell ref="AB50:AC50"/>
    <mergeCell ref="AD50:AE50"/>
    <mergeCell ref="BP49:BQ49"/>
    <mergeCell ref="BR49:BS49"/>
    <mergeCell ref="AH48:AI48"/>
    <mergeCell ref="AJ48:AK48"/>
    <mergeCell ref="AE47:AF47"/>
    <mergeCell ref="O55:P55"/>
    <mergeCell ref="Q55:R55"/>
    <mergeCell ref="S55:T55"/>
    <mergeCell ref="U55:V55"/>
    <mergeCell ref="W55:X55"/>
    <mergeCell ref="Y55:Z55"/>
    <mergeCell ref="AA55:AB55"/>
    <mergeCell ref="AC55:AD55"/>
    <mergeCell ref="AE55:AF55"/>
    <mergeCell ref="BG54:BH54"/>
    <mergeCell ref="BI54:BJ54"/>
    <mergeCell ref="BK54:BL54"/>
    <mergeCell ref="BM54:BN54"/>
    <mergeCell ref="BO54:BP54"/>
    <mergeCell ref="N54:O54"/>
    <mergeCell ref="P54:Q54"/>
    <mergeCell ref="R54:S54"/>
    <mergeCell ref="T54:U54"/>
    <mergeCell ref="V54:W54"/>
    <mergeCell ref="X54:Y54"/>
    <mergeCell ref="Z54:AA54"/>
    <mergeCell ref="AB54:AC54"/>
    <mergeCell ref="AD54:AE54"/>
    <mergeCell ref="BH55:BI55"/>
    <mergeCell ref="AF54:AG54"/>
    <mergeCell ref="AH54:AI54"/>
    <mergeCell ref="M53:N53"/>
    <mergeCell ref="O53:P53"/>
    <mergeCell ref="Q53:R53"/>
    <mergeCell ref="S53:T53"/>
    <mergeCell ref="U53:V53"/>
    <mergeCell ref="BA52:BB52"/>
    <mergeCell ref="BC52:BD52"/>
    <mergeCell ref="BE52:BF52"/>
    <mergeCell ref="BG52:BH52"/>
    <mergeCell ref="BI52:BJ52"/>
    <mergeCell ref="BK52:BL52"/>
    <mergeCell ref="AD52:AE52"/>
    <mergeCell ref="AF52:AG52"/>
    <mergeCell ref="AH52:AI52"/>
    <mergeCell ref="AJ52:AK52"/>
    <mergeCell ref="AW52:AX52"/>
    <mergeCell ref="AY52:AZ52"/>
    <mergeCell ref="L52:M52"/>
    <mergeCell ref="N52:O52"/>
    <mergeCell ref="P52:Q52"/>
    <mergeCell ref="R52:S52"/>
    <mergeCell ref="T52:U52"/>
    <mergeCell ref="V52:W52"/>
    <mergeCell ref="X52:Y52"/>
    <mergeCell ref="Z52:AA52"/>
    <mergeCell ref="AB52:AC52"/>
    <mergeCell ref="BJ53:BK53"/>
    <mergeCell ref="BL53:BM53"/>
    <mergeCell ref="BM52:BN52"/>
    <mergeCell ref="BT51:BU51"/>
    <mergeCell ref="AX51:AY51"/>
    <mergeCell ref="AZ51:BA51"/>
    <mergeCell ref="BB51:BC51"/>
    <mergeCell ref="BD51:BE51"/>
    <mergeCell ref="BF51:BG51"/>
    <mergeCell ref="BH51:BI51"/>
    <mergeCell ref="AC51:AD51"/>
    <mergeCell ref="AE51:AF51"/>
    <mergeCell ref="AG51:AH51"/>
    <mergeCell ref="AI51:AJ51"/>
    <mergeCell ref="AK51:AL51"/>
    <mergeCell ref="AV51:AW51"/>
    <mergeCell ref="BO52:BP52"/>
    <mergeCell ref="BQ52:BR52"/>
    <mergeCell ref="BS52:BT52"/>
    <mergeCell ref="BU52:BV52"/>
    <mergeCell ref="K51:L51"/>
    <mergeCell ref="M51:N51"/>
    <mergeCell ref="O51:P51"/>
    <mergeCell ref="Q51:R51"/>
    <mergeCell ref="S51:T51"/>
    <mergeCell ref="U51:V51"/>
    <mergeCell ref="W51:X51"/>
    <mergeCell ref="Y51:Z51"/>
    <mergeCell ref="AA51:AB51"/>
    <mergeCell ref="BK50:BL50"/>
    <mergeCell ref="BM50:BN50"/>
    <mergeCell ref="BO50:BP50"/>
    <mergeCell ref="BQ50:BR50"/>
    <mergeCell ref="BS50:BT50"/>
    <mergeCell ref="BU50:BV50"/>
    <mergeCell ref="AY50:AZ50"/>
    <mergeCell ref="BA50:BB50"/>
    <mergeCell ref="BC50:BD50"/>
    <mergeCell ref="BE50:BF50"/>
    <mergeCell ref="BG50:BH50"/>
    <mergeCell ref="BI50:BJ50"/>
    <mergeCell ref="AF50:AG50"/>
    <mergeCell ref="AH50:AI50"/>
    <mergeCell ref="AJ50:AK50"/>
    <mergeCell ref="AL50:AM50"/>
    <mergeCell ref="AU50:AV50"/>
    <mergeCell ref="AW50:AX50"/>
    <mergeCell ref="T50:U50"/>
    <mergeCell ref="V50:W50"/>
    <mergeCell ref="X50:Y50"/>
    <mergeCell ref="Z50:AA50"/>
    <mergeCell ref="BV51:BW51"/>
    <mergeCell ref="BT49:BU49"/>
    <mergeCell ref="BV49:BW49"/>
    <mergeCell ref="BX49:BY49"/>
    <mergeCell ref="J50:K50"/>
    <mergeCell ref="L50:M50"/>
    <mergeCell ref="N50:O50"/>
    <mergeCell ref="P50:Q50"/>
    <mergeCell ref="R50:S50"/>
    <mergeCell ref="BD49:BE49"/>
    <mergeCell ref="BF49:BG49"/>
    <mergeCell ref="BH49:BI49"/>
    <mergeCell ref="BJ49:BK49"/>
    <mergeCell ref="BL49:BM49"/>
    <mergeCell ref="BN49:BO49"/>
    <mergeCell ref="AM49:AN49"/>
    <mergeCell ref="AT49:AU49"/>
    <mergeCell ref="AV49:AW49"/>
    <mergeCell ref="AX49:AY49"/>
    <mergeCell ref="AZ49:BA49"/>
    <mergeCell ref="BB49:BC49"/>
    <mergeCell ref="AA49:AB49"/>
    <mergeCell ref="AC49:AD49"/>
    <mergeCell ref="AE49:AF49"/>
    <mergeCell ref="AG49:AH49"/>
    <mergeCell ref="AI49:AJ49"/>
    <mergeCell ref="AK49:AL49"/>
    <mergeCell ref="BW50:BX50"/>
    <mergeCell ref="BY48:BZ48"/>
    <mergeCell ref="I49:J49"/>
    <mergeCell ref="K49:L49"/>
    <mergeCell ref="M49:N49"/>
    <mergeCell ref="O49:P49"/>
    <mergeCell ref="Q49:R49"/>
    <mergeCell ref="S49:T49"/>
    <mergeCell ref="U49:V49"/>
    <mergeCell ref="W49:X49"/>
    <mergeCell ref="Y49:Z49"/>
    <mergeCell ref="BM48:BN48"/>
    <mergeCell ref="BO48:BP48"/>
    <mergeCell ref="BQ48:BR48"/>
    <mergeCell ref="BS48:BT48"/>
    <mergeCell ref="BU48:BV48"/>
    <mergeCell ref="BW48:BX48"/>
    <mergeCell ref="BA48:BB48"/>
    <mergeCell ref="BC48:BD48"/>
    <mergeCell ref="BE48:BF48"/>
    <mergeCell ref="BG48:BH48"/>
    <mergeCell ref="BI48:BJ48"/>
    <mergeCell ref="BK48:BL48"/>
    <mergeCell ref="AL48:AM48"/>
    <mergeCell ref="AN48:AO48"/>
    <mergeCell ref="AS48:AT48"/>
    <mergeCell ref="AU48:AV48"/>
    <mergeCell ref="AW48:AX48"/>
    <mergeCell ref="AY48:AZ48"/>
    <mergeCell ref="Z48:AA48"/>
    <mergeCell ref="AB48:AC48"/>
    <mergeCell ref="AD48:AE48"/>
    <mergeCell ref="AF48:AG48"/>
    <mergeCell ref="BX47:BY47"/>
    <mergeCell ref="H48:I48"/>
    <mergeCell ref="J48:K48"/>
    <mergeCell ref="L48:M48"/>
    <mergeCell ref="N48:O48"/>
    <mergeCell ref="P48:Q48"/>
    <mergeCell ref="R48:S48"/>
    <mergeCell ref="T48:U48"/>
    <mergeCell ref="V48:W48"/>
    <mergeCell ref="X48:Y48"/>
    <mergeCell ref="BL47:BM47"/>
    <mergeCell ref="BN47:BO47"/>
    <mergeCell ref="BP47:BQ47"/>
    <mergeCell ref="BR47:BS47"/>
    <mergeCell ref="BT47:BU47"/>
    <mergeCell ref="BV47:BW47"/>
    <mergeCell ref="AZ47:BA47"/>
    <mergeCell ref="BB47:BC47"/>
    <mergeCell ref="BD47:BE47"/>
    <mergeCell ref="BF47:BG47"/>
    <mergeCell ref="BH47:BI47"/>
    <mergeCell ref="BJ47:BK47"/>
    <mergeCell ref="AI47:AJ47"/>
    <mergeCell ref="AK47:AL47"/>
    <mergeCell ref="AM47:AN47"/>
    <mergeCell ref="AT47:AU47"/>
    <mergeCell ref="AV47:AW47"/>
    <mergeCell ref="AX47:AY47"/>
    <mergeCell ref="W47:X47"/>
    <mergeCell ref="Y47:Z47"/>
    <mergeCell ref="AA47:AB47"/>
    <mergeCell ref="AC47:AD47"/>
    <mergeCell ref="AG47:AH47"/>
    <mergeCell ref="BS46:BT46"/>
    <mergeCell ref="BU46:BV46"/>
    <mergeCell ref="BW46:BX46"/>
    <mergeCell ref="I47:J47"/>
    <mergeCell ref="K47:L47"/>
    <mergeCell ref="M47:N47"/>
    <mergeCell ref="O47:P47"/>
    <mergeCell ref="Q47:R47"/>
    <mergeCell ref="S47:T47"/>
    <mergeCell ref="U47:V47"/>
    <mergeCell ref="BG46:BH46"/>
    <mergeCell ref="BI46:BJ46"/>
    <mergeCell ref="BK46:BL46"/>
    <mergeCell ref="BM46:BN46"/>
    <mergeCell ref="BO46:BP46"/>
    <mergeCell ref="BQ46:BR46"/>
    <mergeCell ref="AU46:AV46"/>
    <mergeCell ref="AW46:AX46"/>
    <mergeCell ref="AY46:AZ46"/>
    <mergeCell ref="BA46:BB46"/>
    <mergeCell ref="BC46:BD46"/>
    <mergeCell ref="BE46:BF46"/>
    <mergeCell ref="AB46:AC46"/>
    <mergeCell ref="AD46:AE46"/>
    <mergeCell ref="AF46:AG46"/>
    <mergeCell ref="AH46:AI46"/>
    <mergeCell ref="AJ46:AK46"/>
    <mergeCell ref="AL46:AM46"/>
    <mergeCell ref="J46:K46"/>
    <mergeCell ref="L46:M46"/>
    <mergeCell ref="N46:O46"/>
    <mergeCell ref="P46:Q46"/>
    <mergeCell ref="R46:S46"/>
    <mergeCell ref="T46:U46"/>
    <mergeCell ref="V46:W46"/>
    <mergeCell ref="X46:Y46"/>
    <mergeCell ref="Z46:AA46"/>
    <mergeCell ref="BJ45:BK45"/>
    <mergeCell ref="BL45:BM45"/>
    <mergeCell ref="BN45:BO45"/>
    <mergeCell ref="BP45:BQ45"/>
    <mergeCell ref="BU44:BV44"/>
    <mergeCell ref="K45:L45"/>
    <mergeCell ref="M45:N45"/>
    <mergeCell ref="O45:P45"/>
    <mergeCell ref="Q45:R45"/>
    <mergeCell ref="S45:T45"/>
    <mergeCell ref="U45:V45"/>
    <mergeCell ref="W45:X45"/>
    <mergeCell ref="Y45:Z45"/>
    <mergeCell ref="AA45:AB45"/>
    <mergeCell ref="BI44:BJ44"/>
    <mergeCell ref="BK44:BL44"/>
    <mergeCell ref="BM44:BN44"/>
    <mergeCell ref="BO44:BP44"/>
    <mergeCell ref="BQ44:BR44"/>
    <mergeCell ref="BS44:BT44"/>
    <mergeCell ref="AW44:AX44"/>
    <mergeCell ref="AY44:AZ44"/>
    <mergeCell ref="BA44:BB44"/>
    <mergeCell ref="BC44:BD44"/>
    <mergeCell ref="BE44:BF44"/>
    <mergeCell ref="BG44:BH44"/>
    <mergeCell ref="Z44:AA44"/>
    <mergeCell ref="AB44:AC44"/>
    <mergeCell ref="AD44:AE44"/>
    <mergeCell ref="AF44:AG44"/>
    <mergeCell ref="AH44:AI44"/>
    <mergeCell ref="AJ44:AK44"/>
    <mergeCell ref="BV45:BW45"/>
    <mergeCell ref="L44:M44"/>
    <mergeCell ref="N44:O44"/>
    <mergeCell ref="P44:Q44"/>
    <mergeCell ref="R44:S44"/>
    <mergeCell ref="T44:U44"/>
    <mergeCell ref="V44:W44"/>
    <mergeCell ref="X44:Y44"/>
    <mergeCell ref="BR45:BS45"/>
    <mergeCell ref="BT45:BU45"/>
    <mergeCell ref="AX45:AY45"/>
    <mergeCell ref="AZ45:BA45"/>
    <mergeCell ref="BB45:BC45"/>
    <mergeCell ref="BD45:BE45"/>
    <mergeCell ref="BF45:BG45"/>
    <mergeCell ref="BH45:BI45"/>
    <mergeCell ref="AC45:AD45"/>
    <mergeCell ref="AE45:AF45"/>
    <mergeCell ref="AG45:AH45"/>
    <mergeCell ref="AI45:AJ45"/>
    <mergeCell ref="AK45:AL45"/>
    <mergeCell ref="AV45:AW45"/>
    <mergeCell ref="BD43:BE43"/>
    <mergeCell ref="BF43:BG43"/>
    <mergeCell ref="BH43:BI43"/>
    <mergeCell ref="BJ43:BK43"/>
    <mergeCell ref="BL43:BM43"/>
    <mergeCell ref="BN43:BO43"/>
    <mergeCell ref="AE43:AF43"/>
    <mergeCell ref="AG43:AH43"/>
    <mergeCell ref="AI43:AJ43"/>
    <mergeCell ref="AX43:AY43"/>
    <mergeCell ref="AZ43:BA43"/>
    <mergeCell ref="BB43:BC43"/>
    <mergeCell ref="BS42:BT42"/>
    <mergeCell ref="M43:N43"/>
    <mergeCell ref="O43:P43"/>
    <mergeCell ref="Q43:R43"/>
    <mergeCell ref="S43:T43"/>
    <mergeCell ref="U43:V43"/>
    <mergeCell ref="W43:X43"/>
    <mergeCell ref="Y43:Z43"/>
    <mergeCell ref="AA43:AB43"/>
    <mergeCell ref="AC43:AD43"/>
    <mergeCell ref="BG42:BH42"/>
    <mergeCell ref="BI42:BJ42"/>
    <mergeCell ref="BK42:BL42"/>
    <mergeCell ref="BM42:BN42"/>
    <mergeCell ref="BO42:BP42"/>
    <mergeCell ref="BQ42:BR42"/>
    <mergeCell ref="AF42:AG42"/>
    <mergeCell ref="AH42:AI42"/>
    <mergeCell ref="AY42:AZ42"/>
    <mergeCell ref="BA42:BB42"/>
    <mergeCell ref="BC42:BD42"/>
    <mergeCell ref="BE42:BF42"/>
    <mergeCell ref="BP43:BQ43"/>
    <mergeCell ref="BR43:BS43"/>
    <mergeCell ref="BT43:BU43"/>
    <mergeCell ref="N42:O42"/>
    <mergeCell ref="P42:Q42"/>
    <mergeCell ref="R42:S42"/>
    <mergeCell ref="T42:U42"/>
    <mergeCell ref="V42:W42"/>
    <mergeCell ref="X42:Y42"/>
    <mergeCell ref="Z42:AA42"/>
    <mergeCell ref="AB42:AC42"/>
    <mergeCell ref="AD42:AE42"/>
    <mergeCell ref="BF41:BG41"/>
    <mergeCell ref="BH41:BI41"/>
    <mergeCell ref="BJ41:BK41"/>
    <mergeCell ref="BL41:BM41"/>
    <mergeCell ref="BN41:BO41"/>
    <mergeCell ref="BP41:BQ41"/>
    <mergeCell ref="AC41:AD41"/>
    <mergeCell ref="AE41:AF41"/>
    <mergeCell ref="AG41:AH41"/>
    <mergeCell ref="AZ41:BA41"/>
    <mergeCell ref="BB41:BC41"/>
    <mergeCell ref="BD41:BE41"/>
    <mergeCell ref="O41:P41"/>
    <mergeCell ref="Q41:R41"/>
    <mergeCell ref="S41:T41"/>
    <mergeCell ref="U41:V41"/>
    <mergeCell ref="W41:X41"/>
    <mergeCell ref="Y41:Z41"/>
    <mergeCell ref="AA41:AB41"/>
    <mergeCell ref="CJ39:CK39"/>
    <mergeCell ref="CL39:CM39"/>
    <mergeCell ref="CN39:CO39"/>
    <mergeCell ref="CP39:CQ39"/>
    <mergeCell ref="CR39:CS39"/>
    <mergeCell ref="CT39:CU39"/>
    <mergeCell ref="BG39:BH39"/>
    <mergeCell ref="BI39:BJ39"/>
    <mergeCell ref="BK39:BL39"/>
    <mergeCell ref="BM39:BN39"/>
    <mergeCell ref="BO39:BP39"/>
    <mergeCell ref="BQ39:BR39"/>
    <mergeCell ref="AB39:AC39"/>
    <mergeCell ref="AD39:AE39"/>
    <mergeCell ref="AF39:AG39"/>
    <mergeCell ref="BA39:BB39"/>
    <mergeCell ref="BC39:BD39"/>
    <mergeCell ref="BE39:BF39"/>
    <mergeCell ref="P39:Q39"/>
    <mergeCell ref="R39:S39"/>
    <mergeCell ref="T39:U39"/>
    <mergeCell ref="V39:W39"/>
    <mergeCell ref="BR41:BS41"/>
    <mergeCell ref="AB37:AC37"/>
    <mergeCell ref="AD37:AE37"/>
    <mergeCell ref="X39:Y39"/>
    <mergeCell ref="Z39:AA39"/>
    <mergeCell ref="CQ38:CR38"/>
    <mergeCell ref="CS38:CT38"/>
    <mergeCell ref="CU38:CV38"/>
    <mergeCell ref="CW38:CX38"/>
    <mergeCell ref="CY38:CZ38"/>
    <mergeCell ref="DA38:DB38"/>
    <mergeCell ref="BP38:BQ38"/>
    <mergeCell ref="BR38:BS38"/>
    <mergeCell ref="CI38:CJ38"/>
    <mergeCell ref="CK38:CL38"/>
    <mergeCell ref="CM38:CN38"/>
    <mergeCell ref="CO38:CP38"/>
    <mergeCell ref="BD38:BE38"/>
    <mergeCell ref="BF38:BG38"/>
    <mergeCell ref="BH38:BI38"/>
    <mergeCell ref="BJ38:BK38"/>
    <mergeCell ref="BL38:BM38"/>
    <mergeCell ref="BN38:BO38"/>
    <mergeCell ref="AA38:AB38"/>
    <mergeCell ref="AC38:AD38"/>
    <mergeCell ref="AE38:AF38"/>
    <mergeCell ref="AG38:AH38"/>
    <mergeCell ref="AZ38:BA38"/>
    <mergeCell ref="BB38:BC38"/>
    <mergeCell ref="CV39:CW39"/>
    <mergeCell ref="CX39:CY39"/>
    <mergeCell ref="CZ39:DA39"/>
    <mergeCell ref="AA36:AB36"/>
    <mergeCell ref="AC36:AD36"/>
    <mergeCell ref="CV37:CW37"/>
    <mergeCell ref="CX37:CY37"/>
    <mergeCell ref="CZ37:DA37"/>
    <mergeCell ref="DB37:DC37"/>
    <mergeCell ref="O38:P38"/>
    <mergeCell ref="Q38:R38"/>
    <mergeCell ref="S38:T38"/>
    <mergeCell ref="U38:V38"/>
    <mergeCell ref="W38:X38"/>
    <mergeCell ref="Y38:Z38"/>
    <mergeCell ref="CJ37:CK37"/>
    <mergeCell ref="CL37:CM37"/>
    <mergeCell ref="CN37:CO37"/>
    <mergeCell ref="CP37:CQ37"/>
    <mergeCell ref="CR37:CS37"/>
    <mergeCell ref="CT37:CU37"/>
    <mergeCell ref="BK37:BL37"/>
    <mergeCell ref="BM37:BN37"/>
    <mergeCell ref="BO37:BP37"/>
    <mergeCell ref="BQ37:BR37"/>
    <mergeCell ref="BS37:BT37"/>
    <mergeCell ref="CH37:CI37"/>
    <mergeCell ref="AY37:AZ37"/>
    <mergeCell ref="BA37:BB37"/>
    <mergeCell ref="BC37:BD37"/>
    <mergeCell ref="BE37:BF37"/>
    <mergeCell ref="BG37:BH37"/>
    <mergeCell ref="BI37:BJ37"/>
    <mergeCell ref="X37:Y37"/>
    <mergeCell ref="Z37:AA37"/>
    <mergeCell ref="BO35:BP35"/>
    <mergeCell ref="BQ35:BR35"/>
    <mergeCell ref="AF37:AG37"/>
    <mergeCell ref="AH37:AI37"/>
    <mergeCell ref="CU36:CV36"/>
    <mergeCell ref="CW36:CX36"/>
    <mergeCell ref="CY36:CZ36"/>
    <mergeCell ref="DA36:DB36"/>
    <mergeCell ref="DC36:DD36"/>
    <mergeCell ref="N37:O37"/>
    <mergeCell ref="P37:Q37"/>
    <mergeCell ref="R37:S37"/>
    <mergeCell ref="T37:U37"/>
    <mergeCell ref="V37:W37"/>
    <mergeCell ref="CI36:CJ36"/>
    <mergeCell ref="CK36:CL36"/>
    <mergeCell ref="CM36:CN36"/>
    <mergeCell ref="CO36:CP36"/>
    <mergeCell ref="CQ36:CR36"/>
    <mergeCell ref="CS36:CT36"/>
    <mergeCell ref="BL36:BM36"/>
    <mergeCell ref="BN36:BO36"/>
    <mergeCell ref="BP36:BQ36"/>
    <mergeCell ref="BR36:BS36"/>
    <mergeCell ref="BT36:BU36"/>
    <mergeCell ref="CG36:CH36"/>
    <mergeCell ref="AZ36:BA36"/>
    <mergeCell ref="BB36:BC36"/>
    <mergeCell ref="BD36:BE36"/>
    <mergeCell ref="BF36:BG36"/>
    <mergeCell ref="BH36:BI36"/>
    <mergeCell ref="BJ36:BK36"/>
    <mergeCell ref="X35:Y35"/>
    <mergeCell ref="Z35:AA35"/>
    <mergeCell ref="AB35:AC35"/>
    <mergeCell ref="AD35:AE35"/>
    <mergeCell ref="AF35:AG35"/>
    <mergeCell ref="AH35:AI35"/>
    <mergeCell ref="L35:M35"/>
    <mergeCell ref="N35:O35"/>
    <mergeCell ref="P35:Q35"/>
    <mergeCell ref="R35:S35"/>
    <mergeCell ref="T35:U35"/>
    <mergeCell ref="V35:W35"/>
    <mergeCell ref="AE36:AF36"/>
    <mergeCell ref="AG36:AH36"/>
    <mergeCell ref="AI36:AJ36"/>
    <mergeCell ref="AX36:AY36"/>
    <mergeCell ref="CZ35:DA35"/>
    <mergeCell ref="M36:N36"/>
    <mergeCell ref="O36:P36"/>
    <mergeCell ref="Q36:R36"/>
    <mergeCell ref="S36:T36"/>
    <mergeCell ref="U36:V36"/>
    <mergeCell ref="W36:X36"/>
    <mergeCell ref="Y36:Z36"/>
    <mergeCell ref="CN35:CO35"/>
    <mergeCell ref="CP35:CQ35"/>
    <mergeCell ref="CR35:CS35"/>
    <mergeCell ref="CT35:CU35"/>
    <mergeCell ref="CV35:CW35"/>
    <mergeCell ref="CX35:CY35"/>
    <mergeCell ref="BS35:BT35"/>
    <mergeCell ref="BU35:BV35"/>
    <mergeCell ref="CY34:CZ34"/>
    <mergeCell ref="DA34:DB34"/>
    <mergeCell ref="BN34:BO34"/>
    <mergeCell ref="AI34:AJ34"/>
    <mergeCell ref="AK34:AL34"/>
    <mergeCell ref="AV34:AW34"/>
    <mergeCell ref="AX34:AY34"/>
    <mergeCell ref="AZ34:BA34"/>
    <mergeCell ref="BB34:BC34"/>
    <mergeCell ref="W34:X34"/>
    <mergeCell ref="Y34:Z34"/>
    <mergeCell ref="AA34:AB34"/>
    <mergeCell ref="AC34:AD34"/>
    <mergeCell ref="AE34:AF34"/>
    <mergeCell ref="AG34:AH34"/>
    <mergeCell ref="CU34:CV34"/>
    <mergeCell ref="DC34:DD34"/>
    <mergeCell ref="DE34:DF34"/>
    <mergeCell ref="CI34:CJ34"/>
    <mergeCell ref="CK34:CL34"/>
    <mergeCell ref="CM34:CN34"/>
    <mergeCell ref="CO34:CP34"/>
    <mergeCell ref="CQ34:CR34"/>
    <mergeCell ref="CS34:CT34"/>
    <mergeCell ref="BP34:BQ34"/>
    <mergeCell ref="BR34:BS34"/>
    <mergeCell ref="BT34:BU34"/>
    <mergeCell ref="BV34:BW34"/>
    <mergeCell ref="CE34:CF34"/>
    <mergeCell ref="CG34:CH34"/>
    <mergeCell ref="AJ35:AK35"/>
    <mergeCell ref="AW35:AX35"/>
    <mergeCell ref="AY35:AZ35"/>
    <mergeCell ref="BA35:BB35"/>
    <mergeCell ref="BC35:BD35"/>
    <mergeCell ref="BE35:BF35"/>
    <mergeCell ref="DB35:DC35"/>
    <mergeCell ref="DD35:DE35"/>
    <mergeCell ref="CF35:CG35"/>
    <mergeCell ref="CH35:CI35"/>
    <mergeCell ref="CJ35:CK35"/>
    <mergeCell ref="CL35:CM35"/>
    <mergeCell ref="BG35:BH35"/>
    <mergeCell ref="BI35:BJ35"/>
    <mergeCell ref="BK35:BL35"/>
    <mergeCell ref="BM35:BN35"/>
    <mergeCell ref="BJ34:BK34"/>
    <mergeCell ref="BL34:BM34"/>
    <mergeCell ref="K34:L34"/>
    <mergeCell ref="M34:N34"/>
    <mergeCell ref="O34:P34"/>
    <mergeCell ref="Q34:R34"/>
    <mergeCell ref="S34:T34"/>
    <mergeCell ref="U34:V34"/>
    <mergeCell ref="CN33:CO33"/>
    <mergeCell ref="CP33:CQ33"/>
    <mergeCell ref="CR33:CS33"/>
    <mergeCell ref="CT33:CU33"/>
    <mergeCell ref="CV33:CW33"/>
    <mergeCell ref="CX33:CY33"/>
    <mergeCell ref="BW33:BX33"/>
    <mergeCell ref="CD33:CE33"/>
    <mergeCell ref="CF33:CG33"/>
    <mergeCell ref="CH33:CI33"/>
    <mergeCell ref="CJ33:CK33"/>
    <mergeCell ref="CL33:CM33"/>
    <mergeCell ref="BK33:BL33"/>
    <mergeCell ref="BM33:BN33"/>
    <mergeCell ref="BO33:BP33"/>
    <mergeCell ref="BQ33:BR33"/>
    <mergeCell ref="BS33:BT33"/>
    <mergeCell ref="BU33:BV33"/>
    <mergeCell ref="AY33:AZ33"/>
    <mergeCell ref="BA33:BB33"/>
    <mergeCell ref="BC33:BD33"/>
    <mergeCell ref="BE33:BF33"/>
    <mergeCell ref="BD34:BE34"/>
    <mergeCell ref="BF34:BG34"/>
    <mergeCell ref="BH34:BI34"/>
    <mergeCell ref="BG33:BH33"/>
    <mergeCell ref="BI33:BJ33"/>
    <mergeCell ref="AF33:AG33"/>
    <mergeCell ref="AH33:AI33"/>
    <mergeCell ref="AJ33:AK33"/>
    <mergeCell ref="AL33:AM33"/>
    <mergeCell ref="AU33:AV33"/>
    <mergeCell ref="AW33:AX33"/>
    <mergeCell ref="T33:U33"/>
    <mergeCell ref="V33:W33"/>
    <mergeCell ref="X33:Y33"/>
    <mergeCell ref="Z33:AA33"/>
    <mergeCell ref="AB33:AC33"/>
    <mergeCell ref="AD33:AE33"/>
    <mergeCell ref="CY32:CZ32"/>
    <mergeCell ref="DA32:DB32"/>
    <mergeCell ref="CW34:CX34"/>
    <mergeCell ref="DC32:DD32"/>
    <mergeCell ref="AK32:AL32"/>
    <mergeCell ref="AM32:AN32"/>
    <mergeCell ref="AT32:AU32"/>
    <mergeCell ref="AV32:AW32"/>
    <mergeCell ref="AX32:AY32"/>
    <mergeCell ref="W32:X32"/>
    <mergeCell ref="Y32:Z32"/>
    <mergeCell ref="AA32:AB32"/>
    <mergeCell ref="AC32:AD32"/>
    <mergeCell ref="AE32:AF32"/>
    <mergeCell ref="AG32:AH32"/>
    <mergeCell ref="CZ33:DA33"/>
    <mergeCell ref="DB33:DC33"/>
    <mergeCell ref="DD33:DE33"/>
    <mergeCell ref="DE32:DF32"/>
    <mergeCell ref="DG32:DH32"/>
    <mergeCell ref="DF33:DG33"/>
    <mergeCell ref="J33:K33"/>
    <mergeCell ref="L33:M33"/>
    <mergeCell ref="N33:O33"/>
    <mergeCell ref="P33:Q33"/>
    <mergeCell ref="R33:S33"/>
    <mergeCell ref="CM32:CN32"/>
    <mergeCell ref="CO32:CP32"/>
    <mergeCell ref="CQ32:CR32"/>
    <mergeCell ref="CS32:CT32"/>
    <mergeCell ref="CU32:CV32"/>
    <mergeCell ref="CW32:CX32"/>
    <mergeCell ref="BX32:BY32"/>
    <mergeCell ref="CC32:CD32"/>
    <mergeCell ref="CE32:CF32"/>
    <mergeCell ref="CG32:CH32"/>
    <mergeCell ref="CI32:CJ32"/>
    <mergeCell ref="CK32:CL32"/>
    <mergeCell ref="BL32:BM32"/>
    <mergeCell ref="BN32:BO32"/>
    <mergeCell ref="BP32:BQ32"/>
    <mergeCell ref="BR32:BS32"/>
    <mergeCell ref="BT32:BU32"/>
    <mergeCell ref="BV32:BW32"/>
    <mergeCell ref="AZ32:BA32"/>
    <mergeCell ref="BB32:BC32"/>
    <mergeCell ref="BD32:BE32"/>
    <mergeCell ref="BF32:BG32"/>
    <mergeCell ref="BH32:BI32"/>
    <mergeCell ref="BJ32:BK32"/>
    <mergeCell ref="AI32:AJ32"/>
    <mergeCell ref="DD31:DE31"/>
    <mergeCell ref="DF31:DG31"/>
    <mergeCell ref="DH31:DI31"/>
    <mergeCell ref="I32:J32"/>
    <mergeCell ref="K32:L32"/>
    <mergeCell ref="M32:N32"/>
    <mergeCell ref="O32:P32"/>
    <mergeCell ref="Q32:R32"/>
    <mergeCell ref="S32:T32"/>
    <mergeCell ref="U32:V32"/>
    <mergeCell ref="CR31:CS31"/>
    <mergeCell ref="CT31:CU31"/>
    <mergeCell ref="CV31:CW31"/>
    <mergeCell ref="CX31:CY31"/>
    <mergeCell ref="CZ31:DA31"/>
    <mergeCell ref="DB31:DC31"/>
    <mergeCell ref="CF31:CG31"/>
    <mergeCell ref="CH31:CI31"/>
    <mergeCell ref="CJ31:CK31"/>
    <mergeCell ref="CL31:CM31"/>
    <mergeCell ref="CN31:CO31"/>
    <mergeCell ref="CP31:CQ31"/>
    <mergeCell ref="BS31:BT31"/>
    <mergeCell ref="BU31:BV31"/>
    <mergeCell ref="BW31:BX31"/>
    <mergeCell ref="BY31:BZ31"/>
    <mergeCell ref="CB31:CC31"/>
    <mergeCell ref="CD31:CE31"/>
    <mergeCell ref="BG31:BH31"/>
    <mergeCell ref="BI31:BJ31"/>
    <mergeCell ref="BK31:BL31"/>
    <mergeCell ref="BM31:BN31"/>
    <mergeCell ref="BO31:BP31"/>
    <mergeCell ref="BQ31:BR31"/>
    <mergeCell ref="AU31:AV31"/>
    <mergeCell ref="AW31:AX31"/>
    <mergeCell ref="AY31:AZ31"/>
    <mergeCell ref="BA31:BB31"/>
    <mergeCell ref="BC31:BD31"/>
    <mergeCell ref="BE31:BF31"/>
    <mergeCell ref="AF31:AG31"/>
    <mergeCell ref="AH31:AI31"/>
    <mergeCell ref="AJ31:AK31"/>
    <mergeCell ref="AL31:AM31"/>
    <mergeCell ref="AN31:AO31"/>
    <mergeCell ref="AS31:AT31"/>
    <mergeCell ref="T31:U31"/>
    <mergeCell ref="V31:W31"/>
    <mergeCell ref="X31:Y31"/>
    <mergeCell ref="Z31:AA31"/>
    <mergeCell ref="AB31:AC31"/>
    <mergeCell ref="AD31:AE31"/>
    <mergeCell ref="DA30:DB30"/>
    <mergeCell ref="DC30:DD30"/>
    <mergeCell ref="DE30:DF30"/>
    <mergeCell ref="DG30:DH30"/>
    <mergeCell ref="H31:I31"/>
    <mergeCell ref="J31:K31"/>
    <mergeCell ref="L31:M31"/>
    <mergeCell ref="N31:O31"/>
    <mergeCell ref="P31:Q31"/>
    <mergeCell ref="R31:S31"/>
    <mergeCell ref="CO30:CP30"/>
    <mergeCell ref="CQ30:CR30"/>
    <mergeCell ref="CS30:CT30"/>
    <mergeCell ref="CU30:CV30"/>
    <mergeCell ref="CW30:CX30"/>
    <mergeCell ref="CY30:CZ30"/>
    <mergeCell ref="CC30:CD30"/>
    <mergeCell ref="CE30:CF30"/>
    <mergeCell ref="CG30:CH30"/>
    <mergeCell ref="CI30:CJ30"/>
    <mergeCell ref="CK30:CL30"/>
    <mergeCell ref="CM30:CN30"/>
    <mergeCell ref="BN30:BO30"/>
    <mergeCell ref="BP30:BQ30"/>
    <mergeCell ref="BR30:BS30"/>
    <mergeCell ref="BT30:BU30"/>
    <mergeCell ref="BV30:BW30"/>
    <mergeCell ref="BX30:BY30"/>
    <mergeCell ref="BB30:BC30"/>
    <mergeCell ref="BD30:BE30"/>
    <mergeCell ref="BF30:BG30"/>
    <mergeCell ref="BH30:BI30"/>
    <mergeCell ref="BJ30:BK30"/>
    <mergeCell ref="BL30:BM30"/>
    <mergeCell ref="AK30:AL30"/>
    <mergeCell ref="AM30:AN30"/>
    <mergeCell ref="AT30:AU30"/>
    <mergeCell ref="AV30:AW30"/>
    <mergeCell ref="AX30:AY30"/>
    <mergeCell ref="AZ30:BA30"/>
    <mergeCell ref="Y30:Z30"/>
    <mergeCell ref="AA30:AB30"/>
    <mergeCell ref="AC30:AD30"/>
    <mergeCell ref="AE30:AF30"/>
    <mergeCell ref="AG30:AH30"/>
    <mergeCell ref="AI30:AJ30"/>
    <mergeCell ref="DD29:DE29"/>
    <mergeCell ref="DF29:DG29"/>
    <mergeCell ref="I30:J30"/>
    <mergeCell ref="K30:L30"/>
    <mergeCell ref="M30:N30"/>
    <mergeCell ref="O30:P30"/>
    <mergeCell ref="Q30:R30"/>
    <mergeCell ref="S30:T30"/>
    <mergeCell ref="U30:V30"/>
    <mergeCell ref="W30:X30"/>
    <mergeCell ref="CR29:CS29"/>
    <mergeCell ref="CT29:CU29"/>
    <mergeCell ref="CV29:CW29"/>
    <mergeCell ref="CX29:CY29"/>
    <mergeCell ref="CZ29:DA29"/>
    <mergeCell ref="DB29:DC29"/>
    <mergeCell ref="CF29:CG29"/>
    <mergeCell ref="CH29:CI29"/>
    <mergeCell ref="CJ29:CK29"/>
    <mergeCell ref="CL29:CM29"/>
    <mergeCell ref="CN29:CO29"/>
    <mergeCell ref="CP29:CQ29"/>
    <mergeCell ref="BO29:BP29"/>
    <mergeCell ref="BQ29:BR29"/>
    <mergeCell ref="BS29:BT29"/>
    <mergeCell ref="BU29:BV29"/>
    <mergeCell ref="BW29:BX29"/>
    <mergeCell ref="CD29:CE29"/>
    <mergeCell ref="BC29:BD29"/>
    <mergeCell ref="BE29:BF29"/>
    <mergeCell ref="BG29:BH29"/>
    <mergeCell ref="BI29:BJ29"/>
    <mergeCell ref="BK29:BL29"/>
    <mergeCell ref="BM29:BN29"/>
    <mergeCell ref="AJ29:AK29"/>
    <mergeCell ref="AL29:AM29"/>
    <mergeCell ref="AU29:AV29"/>
    <mergeCell ref="AW29:AX29"/>
    <mergeCell ref="AY29:AZ29"/>
    <mergeCell ref="BA29:BB29"/>
    <mergeCell ref="X29:Y29"/>
    <mergeCell ref="Z29:AA29"/>
    <mergeCell ref="AB29:AC29"/>
    <mergeCell ref="AD29:AE29"/>
    <mergeCell ref="AF29:AG29"/>
    <mergeCell ref="AH29:AI29"/>
    <mergeCell ref="DA28:DB28"/>
    <mergeCell ref="DC28:DD28"/>
    <mergeCell ref="DE28:DF28"/>
    <mergeCell ref="J29:K29"/>
    <mergeCell ref="L29:M29"/>
    <mergeCell ref="N29:O29"/>
    <mergeCell ref="P29:Q29"/>
    <mergeCell ref="R29:S29"/>
    <mergeCell ref="T29:U29"/>
    <mergeCell ref="V29:W29"/>
    <mergeCell ref="CO28:CP28"/>
    <mergeCell ref="CQ28:CR28"/>
    <mergeCell ref="CS28:CT28"/>
    <mergeCell ref="CU28:CV28"/>
    <mergeCell ref="CW28:CX28"/>
    <mergeCell ref="CY28:CZ28"/>
    <mergeCell ref="BV28:BW28"/>
    <mergeCell ref="CE28:CF28"/>
    <mergeCell ref="CG28:CH28"/>
    <mergeCell ref="CI28:CJ28"/>
    <mergeCell ref="CK28:CL28"/>
    <mergeCell ref="CM28:CN28"/>
    <mergeCell ref="BJ28:BK28"/>
    <mergeCell ref="BL28:BM28"/>
    <mergeCell ref="BN28:BO28"/>
    <mergeCell ref="BP28:BQ28"/>
    <mergeCell ref="BR28:BS28"/>
    <mergeCell ref="BT28:BU28"/>
    <mergeCell ref="AX28:AY28"/>
    <mergeCell ref="AZ28:BA28"/>
    <mergeCell ref="BB28:BC28"/>
    <mergeCell ref="BD28:BE28"/>
    <mergeCell ref="BF28:BG28"/>
    <mergeCell ref="BH28:BI28"/>
    <mergeCell ref="AC28:AD28"/>
    <mergeCell ref="AE28:AF28"/>
    <mergeCell ref="AG28:AH28"/>
    <mergeCell ref="AI28:AJ28"/>
    <mergeCell ref="AK28:AL28"/>
    <mergeCell ref="AV28:AW28"/>
    <mergeCell ref="DD27:DE27"/>
    <mergeCell ref="K28:L28"/>
    <mergeCell ref="M28:N28"/>
    <mergeCell ref="O28:P28"/>
    <mergeCell ref="Q28:R28"/>
    <mergeCell ref="S28:T28"/>
    <mergeCell ref="U28:V28"/>
    <mergeCell ref="W28:X28"/>
    <mergeCell ref="Y28:Z28"/>
    <mergeCell ref="AA28:AB28"/>
    <mergeCell ref="CR27:CS27"/>
    <mergeCell ref="CT27:CU27"/>
    <mergeCell ref="CV27:CW27"/>
    <mergeCell ref="CX27:CY27"/>
    <mergeCell ref="CZ27:DA27"/>
    <mergeCell ref="DB27:DC27"/>
    <mergeCell ref="CF27:CG27"/>
    <mergeCell ref="CH27:CI27"/>
    <mergeCell ref="CJ27:CK27"/>
    <mergeCell ref="CL27:CM27"/>
    <mergeCell ref="CN27:CO27"/>
    <mergeCell ref="CP27:CQ27"/>
    <mergeCell ref="BK27:BL27"/>
    <mergeCell ref="BM27:BN27"/>
    <mergeCell ref="BO27:BP27"/>
    <mergeCell ref="BQ27:BR27"/>
    <mergeCell ref="BS27:BT27"/>
    <mergeCell ref="BU27:BV27"/>
    <mergeCell ref="AY27:AZ27"/>
    <mergeCell ref="BA27:BB27"/>
    <mergeCell ref="BC27:BD27"/>
    <mergeCell ref="BE27:BF27"/>
    <mergeCell ref="BG27:BH27"/>
    <mergeCell ref="BI27:BJ27"/>
    <mergeCell ref="AB27:AC27"/>
    <mergeCell ref="AD27:AE27"/>
    <mergeCell ref="AF27:AG27"/>
    <mergeCell ref="AH27:AI27"/>
    <mergeCell ref="AJ27:AK27"/>
    <mergeCell ref="AW27:AX27"/>
    <mergeCell ref="DA26:DB26"/>
    <mergeCell ref="DC26:DD26"/>
    <mergeCell ref="L27:M27"/>
    <mergeCell ref="N27:O27"/>
    <mergeCell ref="P27:Q27"/>
    <mergeCell ref="R27:S27"/>
    <mergeCell ref="T27:U27"/>
    <mergeCell ref="V27:W27"/>
    <mergeCell ref="X27:Y27"/>
    <mergeCell ref="Z27:AA27"/>
    <mergeCell ref="CO26:CP26"/>
    <mergeCell ref="CQ26:CR26"/>
    <mergeCell ref="CS26:CT26"/>
    <mergeCell ref="CU26:CV26"/>
    <mergeCell ref="CW26:CX26"/>
    <mergeCell ref="CY26:CZ26"/>
    <mergeCell ref="BR26:BS26"/>
    <mergeCell ref="BT26:BU26"/>
    <mergeCell ref="CG26:CH26"/>
    <mergeCell ref="CI26:CJ26"/>
    <mergeCell ref="CK26:CL26"/>
    <mergeCell ref="CM26:CN26"/>
    <mergeCell ref="BF26:BG26"/>
    <mergeCell ref="BH26:BI26"/>
    <mergeCell ref="BJ26:BK26"/>
    <mergeCell ref="BL26:BM26"/>
    <mergeCell ref="BN26:BO26"/>
    <mergeCell ref="BP26:BQ26"/>
    <mergeCell ref="AG26:AH26"/>
    <mergeCell ref="AI26:AJ26"/>
    <mergeCell ref="AX26:AY26"/>
    <mergeCell ref="AZ26:BA26"/>
    <mergeCell ref="BB26:BC26"/>
    <mergeCell ref="BD26:BE26"/>
    <mergeCell ref="U26:V26"/>
    <mergeCell ref="W26:X26"/>
    <mergeCell ref="Y26:Z26"/>
    <mergeCell ref="AA26:AB26"/>
    <mergeCell ref="AC26:AD26"/>
    <mergeCell ref="AE26:AF26"/>
    <mergeCell ref="CR25:CS25"/>
    <mergeCell ref="CT25:CU25"/>
    <mergeCell ref="CV25:CW25"/>
    <mergeCell ref="CX25:CY25"/>
    <mergeCell ref="CZ25:DA25"/>
    <mergeCell ref="DB25:DC25"/>
    <mergeCell ref="BS25:BT25"/>
    <mergeCell ref="CH25:CI25"/>
    <mergeCell ref="CJ25:CK25"/>
    <mergeCell ref="CL25:CM25"/>
    <mergeCell ref="CN25:CO25"/>
    <mergeCell ref="CP25:CQ25"/>
    <mergeCell ref="BG25:BH25"/>
    <mergeCell ref="BI25:BJ25"/>
    <mergeCell ref="BK25:BL25"/>
    <mergeCell ref="BM25:BN25"/>
    <mergeCell ref="BO25:BP25"/>
    <mergeCell ref="BQ25:BR25"/>
    <mergeCell ref="AF25:AG25"/>
    <mergeCell ref="AH25:AI25"/>
    <mergeCell ref="AY25:AZ25"/>
    <mergeCell ref="BA25:BB25"/>
    <mergeCell ref="BC25:BD25"/>
    <mergeCell ref="BE25:BF25"/>
    <mergeCell ref="B78:B79"/>
    <mergeCell ref="C78:C79"/>
    <mergeCell ref="D78:D79"/>
    <mergeCell ref="CQ24:CR24"/>
    <mergeCell ref="CS24:CT24"/>
    <mergeCell ref="CU24:CV24"/>
    <mergeCell ref="CW24:CX24"/>
    <mergeCell ref="CY24:CZ24"/>
    <mergeCell ref="DA24:DB24"/>
    <mergeCell ref="BP24:BQ24"/>
    <mergeCell ref="BR24:BS24"/>
    <mergeCell ref="CI24:CJ24"/>
    <mergeCell ref="CK24:CL24"/>
    <mergeCell ref="CM24:CN24"/>
    <mergeCell ref="CO24:CP24"/>
    <mergeCell ref="BD24:BE24"/>
    <mergeCell ref="BF24:BG24"/>
    <mergeCell ref="BH24:BI24"/>
    <mergeCell ref="BJ24:BK24"/>
    <mergeCell ref="BL24:BM24"/>
    <mergeCell ref="BN24:BO24"/>
    <mergeCell ref="AA24:AB24"/>
    <mergeCell ref="AC24:AD24"/>
    <mergeCell ref="AE24:AF24"/>
    <mergeCell ref="AG24:AH24"/>
    <mergeCell ref="AZ24:BA24"/>
    <mergeCell ref="BB24:BC24"/>
    <mergeCell ref="O24:P24"/>
    <mergeCell ref="Q24:R24"/>
    <mergeCell ref="S24:T24"/>
    <mergeCell ref="U24:V24"/>
    <mergeCell ref="W24:X24"/>
    <mergeCell ref="BM22:BN22"/>
    <mergeCell ref="BO22:BP22"/>
    <mergeCell ref="BQ22:BR22"/>
    <mergeCell ref="AF22:AG22"/>
    <mergeCell ref="AH22:AI22"/>
    <mergeCell ref="AY22:AZ22"/>
    <mergeCell ref="BA22:BB22"/>
    <mergeCell ref="BC22:BD22"/>
    <mergeCell ref="BE22:BF22"/>
    <mergeCell ref="CP23:CQ23"/>
    <mergeCell ref="CR23:CS23"/>
    <mergeCell ref="CT23:CU23"/>
    <mergeCell ref="CV23:CW23"/>
    <mergeCell ref="CX23:CY23"/>
    <mergeCell ref="CZ23:DA23"/>
    <mergeCell ref="BM23:BN23"/>
    <mergeCell ref="BO23:BP23"/>
    <mergeCell ref="BQ23:BR23"/>
    <mergeCell ref="CJ23:CK23"/>
    <mergeCell ref="CL23:CM23"/>
    <mergeCell ref="CN23:CO23"/>
    <mergeCell ref="BA23:BB23"/>
    <mergeCell ref="BC23:BD23"/>
    <mergeCell ref="BE23:BF23"/>
    <mergeCell ref="BG23:BH23"/>
    <mergeCell ref="BI23:BJ23"/>
    <mergeCell ref="BK23:BL23"/>
    <mergeCell ref="BT21:BU21"/>
    <mergeCell ref="AX21:AY21"/>
    <mergeCell ref="AZ21:BA21"/>
    <mergeCell ref="BB21:BC21"/>
    <mergeCell ref="BD21:BO21"/>
    <mergeCell ref="BP21:BQ21"/>
    <mergeCell ref="BR21:BS21"/>
    <mergeCell ref="BP4:BQ4"/>
    <mergeCell ref="BR4:BS4"/>
    <mergeCell ref="BT4:BU4"/>
    <mergeCell ref="BD4:BE4"/>
    <mergeCell ref="BF4:BG4"/>
    <mergeCell ref="BH4:BI4"/>
    <mergeCell ref="BJ4:BK4"/>
    <mergeCell ref="BL4:BM4"/>
    <mergeCell ref="BN4:BO4"/>
    <mergeCell ref="B28:C28"/>
    <mergeCell ref="B15:C15"/>
    <mergeCell ref="B4:C4"/>
    <mergeCell ref="BS22:BT22"/>
    <mergeCell ref="P23:Q23"/>
    <mergeCell ref="R23:S23"/>
    <mergeCell ref="T23:U23"/>
    <mergeCell ref="V23:W23"/>
    <mergeCell ref="X23:Y23"/>
    <mergeCell ref="Z23:AA23"/>
    <mergeCell ref="AB23:AC23"/>
    <mergeCell ref="AD23:AE23"/>
    <mergeCell ref="AF23:AG23"/>
    <mergeCell ref="BG22:BH22"/>
    <mergeCell ref="BI22:BJ22"/>
    <mergeCell ref="BK22:BL22"/>
  </mergeCells>
  <phoneticPr fontId="8" type="noConversion"/>
  <conditionalFormatting sqref="F6">
    <cfRule type="expression" dxfId="40" priority="10">
      <formula>IF(AND($F$4&gt;25.5,$F$6=4),TRUE,FALSE)</formula>
    </cfRule>
  </conditionalFormatting>
  <conditionalFormatting sqref="C82:D82">
    <cfRule type="cellIs" dxfId="39" priority="9" operator="greaterThan">
      <formula>15.05</formula>
    </cfRule>
  </conditionalFormatting>
  <conditionalFormatting sqref="C83:D83">
    <cfRule type="cellIs" dxfId="38" priority="8" operator="greaterThan">
      <formula>60.05</formula>
    </cfRule>
  </conditionalFormatting>
  <conditionalFormatting sqref="C69">
    <cfRule type="cellIs" dxfId="37" priority="7" operator="notBetween">
      <formula>1</formula>
      <formula>10</formula>
    </cfRule>
  </conditionalFormatting>
  <conditionalFormatting sqref="C64">
    <cfRule type="cellIs" dxfId="36" priority="6" operator="lessThan">
      <formula>20</formula>
    </cfRule>
  </conditionalFormatting>
  <conditionalFormatting sqref="C67:C68">
    <cfRule type="expression" dxfId="35" priority="4">
      <formula>IF(OR($C$67+$C$68&lt;10,$C$67+$C$68&gt;90),TRUE,FALSE)</formula>
    </cfRule>
    <cfRule type="cellIs" dxfId="34" priority="5" operator="lessThan">
      <formula>0</formula>
    </cfRule>
  </conditionalFormatting>
  <conditionalFormatting sqref="C84:D84">
    <cfRule type="cellIs" dxfId="33" priority="3" operator="greaterThan">
      <formula>1</formula>
    </cfRule>
  </conditionalFormatting>
  <conditionalFormatting sqref="C70">
    <cfRule type="expression" dxfId="32" priority="2">
      <formula>IF(OR($C$70=2,$C$70=3,$C$70=4),FALSE,TRUE)</formula>
    </cfRule>
  </conditionalFormatting>
  <conditionalFormatting sqref="H23:BZ39 DK23:DK39">
    <cfRule type="colorScale" priority="11">
      <colorScale>
        <cfvo type="min"/>
        <cfvo type="percent" val="50"/>
        <cfvo type="max"/>
        <color theme="8"/>
        <color rgb="FFFFFF00"/>
        <color rgb="FFFF0000"/>
      </colorScale>
    </cfRule>
  </conditionalFormatting>
  <conditionalFormatting sqref="CB23:DI39">
    <cfRule type="colorScale" priority="1">
      <colorScale>
        <cfvo type="min"/>
        <cfvo type="percentile" val="50"/>
        <cfvo type="max"/>
        <color rgb="FFFF0000"/>
        <color rgb="FFFFEB84"/>
        <color rgb="FF0070C0"/>
      </colorScale>
    </cfRule>
  </conditionalFormatting>
  <dataValidations count="1">
    <dataValidation type="list" allowBlank="1" showInputMessage="1" showErrorMessage="1" sqref="C7 C31" xr:uid="{35C34895-8E27-435B-8351-F64DA46D3C0B}">
      <formula1>"0.5,1,2,3,5"</formula1>
    </dataValidation>
  </dataValidations>
  <pageMargins left="0.7" right="0.7" top="0.75" bottom="0.75" header="0.3" footer="0.3"/>
  <pageSetup paperSize="9" orientation="portrait" horizontalDpi="90" verticalDpi="9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81B6EE62-C5A6-4066-B7B6-C39B27AC4C82}">
          <x14:formula1>
            <xm:f>'Constant list'!$F$37:$G$37</xm:f>
          </x14:formula1>
          <xm:sqref>F6</xm:sqref>
        </x14:dataValidation>
        <x14:dataValidation type="list" allowBlank="1" showInputMessage="1" showErrorMessage="1" xr:uid="{BA7272AF-B061-412D-B627-8BC2ACA1C5A7}">
          <x14:formula1>
            <xm:f>'Cable and cord selector'!$A$35:$A$36</xm:f>
          </x14:formula1>
          <xm:sqref>C5</xm:sqref>
        </x14:dataValidation>
        <x14:dataValidation type="list" allowBlank="1" showInputMessage="1" showErrorMessage="1" xr:uid="{F32F4CDD-6DBA-4EC6-B316-77C0EE369AF8}">
          <x14:formula1>
            <xm:f>'Cable and cord selector'!$B$35:$B$40</xm:f>
          </x14:formula1>
          <xm:sqref>C6</xm:sqref>
        </x14:dataValidation>
        <x14:dataValidation type="list" allowBlank="1" showInputMessage="1" showErrorMessage="1" xr:uid="{2E9E5ECE-5475-47D3-81D9-F04738E9731C}">
          <x14:formula1>
            <xm:f>'Cable and cord selector'!$G$35:$G$36</xm:f>
          </x14:formula1>
          <xm:sqref>C29</xm:sqref>
        </x14:dataValidation>
        <x14:dataValidation type="list" allowBlank="1" showInputMessage="1" showErrorMessage="1" xr:uid="{84138214-DC54-43A0-9C6D-D32823CC1917}">
          <x14:formula1>
            <xm:f>'Cable and cord selector'!$H$35:$H$40</xm:f>
          </x14:formula1>
          <xm:sqref>C30</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AC427-DAAB-4362-8C12-5A9530D8C01D}">
  <sheetPr codeName="Feuil1">
    <pageSetUpPr fitToPage="1"/>
  </sheetPr>
  <dimension ref="A1:U36"/>
  <sheetViews>
    <sheetView tabSelected="1" zoomScale="90" zoomScaleNormal="90" workbookViewId="0">
      <selection activeCell="V34" sqref="V34"/>
    </sheetView>
  </sheetViews>
  <sheetFormatPr defaultColWidth="11.42578125" defaultRowHeight="15"/>
  <cols>
    <col min="1" max="1" width="6.7109375" style="126" customWidth="1"/>
    <col min="2" max="2" width="25.7109375" style="126" customWidth="1"/>
    <col min="3" max="3" width="16.7109375" style="126" customWidth="1"/>
    <col min="4" max="4" width="2.7109375" style="126" customWidth="1"/>
    <col min="5" max="7" width="12.7109375" style="126" customWidth="1"/>
    <col min="8" max="8" width="29.7109375" style="126" customWidth="1"/>
    <col min="9" max="9" width="2.7109375" style="126" customWidth="1"/>
    <col min="10" max="12" width="12.7109375" style="126" customWidth="1"/>
    <col min="13" max="14" width="14.7109375" style="126" customWidth="1"/>
    <col min="15" max="15" width="2.7109375" style="126" customWidth="1"/>
    <col min="16" max="16" width="12.7109375" style="126" customWidth="1"/>
    <col min="17" max="17" width="8.7109375" style="126" customWidth="1"/>
    <col min="18" max="18" width="3.7109375" style="126" customWidth="1"/>
    <col min="19" max="19" width="12.7109375" style="126" customWidth="1"/>
    <col min="20" max="21" width="14.7109375" style="126" customWidth="1"/>
    <col min="22" max="16384" width="11.42578125" style="126"/>
  </cols>
  <sheetData>
    <row r="1" spans="1:21" ht="75" customHeight="1">
      <c r="U1" s="178" t="s">
        <v>503</v>
      </c>
    </row>
    <row r="2" spans="1:21">
      <c r="B2" s="215" t="s">
        <v>266</v>
      </c>
      <c r="C2" s="215"/>
      <c r="D2" s="215"/>
      <c r="E2" s="215"/>
      <c r="F2" s="215"/>
      <c r="G2" s="215"/>
      <c r="H2" s="215"/>
      <c r="I2" s="142">
        <v>1</v>
      </c>
      <c r="J2" s="215" t="s">
        <v>272</v>
      </c>
      <c r="K2" s="215"/>
      <c r="L2" s="215"/>
      <c r="M2" s="215"/>
      <c r="N2" s="215"/>
      <c r="O2" s="138"/>
      <c r="P2" s="215" t="s">
        <v>269</v>
      </c>
      <c r="Q2" s="215"/>
      <c r="R2" s="215"/>
      <c r="S2" s="215"/>
      <c r="T2" s="215"/>
      <c r="U2" s="215"/>
    </row>
    <row r="3" spans="1:21">
      <c r="B3" s="110"/>
      <c r="C3" s="110"/>
      <c r="M3" s="33"/>
      <c r="N3" s="33"/>
      <c r="O3" s="33"/>
    </row>
    <row r="4" spans="1:21" ht="15" customHeight="1">
      <c r="A4" s="139" t="s">
        <v>374</v>
      </c>
      <c r="B4" s="207" t="s">
        <v>371</v>
      </c>
      <c r="C4" s="208"/>
      <c r="P4" s="216" t="s">
        <v>506</v>
      </c>
      <c r="Q4" s="216"/>
      <c r="S4" s="222"/>
      <c r="T4" s="218" t="s">
        <v>203</v>
      </c>
      <c r="U4" s="220" t="s">
        <v>107</v>
      </c>
    </row>
    <row r="5" spans="1:21">
      <c r="B5" s="105" t="s">
        <v>345</v>
      </c>
      <c r="C5" s="124" t="s">
        <v>284</v>
      </c>
      <c r="O5" s="33"/>
      <c r="P5" s="216"/>
      <c r="Q5" s="216"/>
      <c r="S5" s="223"/>
      <c r="T5" s="219"/>
      <c r="U5" s="221"/>
    </row>
    <row r="6" spans="1:21">
      <c r="B6" s="105" t="s">
        <v>346</v>
      </c>
      <c r="C6" s="124" t="s">
        <v>159</v>
      </c>
      <c r="O6" s="33"/>
      <c r="P6" s="143" t="s">
        <v>204</v>
      </c>
      <c r="Q6" s="147">
        <f>IF(P4="Current = 1A per pair",52,IF(ISERROR(VLOOKUP(1,'Constant list'!$B$27:$D$35,3,FALSE)),"",VLOOKUP(1,'Constant list'!$B$27:$D$35,3,FALSE)))</f>
        <v>50</v>
      </c>
      <c r="S6" s="40" t="s">
        <v>382</v>
      </c>
      <c r="T6" s="41">
        <v>3.84</v>
      </c>
      <c r="U6" s="42" t="s">
        <v>205</v>
      </c>
    </row>
    <row r="7" spans="1:21">
      <c r="B7" s="105" t="s">
        <v>347</v>
      </c>
      <c r="C7" s="125">
        <v>2</v>
      </c>
      <c r="E7" s="127"/>
      <c r="F7" s="127"/>
      <c r="G7" s="127"/>
      <c r="H7" s="127"/>
      <c r="I7" s="127"/>
      <c r="J7" s="127"/>
      <c r="K7" s="127"/>
      <c r="L7" s="127"/>
      <c r="M7" s="127"/>
      <c r="N7" s="127"/>
      <c r="P7" s="105" t="s">
        <v>267</v>
      </c>
      <c r="Q7" s="35">
        <v>25</v>
      </c>
      <c r="R7" s="137"/>
      <c r="S7" s="40" t="s">
        <v>383</v>
      </c>
      <c r="T7" s="41">
        <v>6.49</v>
      </c>
      <c r="U7" s="42" t="s">
        <v>205</v>
      </c>
    </row>
    <row r="8" spans="1:21">
      <c r="B8" s="209" t="s">
        <v>236</v>
      </c>
      <c r="C8" s="211" t="str">
        <f>'Cable and cord selector'!D31</f>
        <v>ACTPC6ASFLS20yy (yy = color code)</v>
      </c>
      <c r="P8" s="105" t="s">
        <v>268</v>
      </c>
      <c r="Q8" s="46">
        <v>8</v>
      </c>
      <c r="S8" s="48" t="s">
        <v>384</v>
      </c>
      <c r="T8" s="49">
        <v>12.95</v>
      </c>
      <c r="U8" s="50" t="s">
        <v>205</v>
      </c>
    </row>
    <row r="9" spans="1:21">
      <c r="B9" s="210"/>
      <c r="C9" s="212"/>
      <c r="G9" s="232" t="str">
        <f>IF(C21="","",Messages!C46)</f>
        <v>VDICD116118GHD
Ø 5,5 mm
 R =  76,5 Ω/km</v>
      </c>
      <c r="P9" s="217">
        <f>IF(P4="Current = 1A per pair","Power @ PSE = 104 W",IF(ISERROR(VLOOKUP(1,'Constant list'!$B$27:$D$35,2,FALSE)),"",VLOOKUP(1,'Constant list'!$B$27:$D$35,2,FALSE)))</f>
        <v>4</v>
      </c>
      <c r="Q9" s="217"/>
      <c r="S9" s="48" t="s">
        <v>385</v>
      </c>
      <c r="T9" s="53">
        <v>25.5</v>
      </c>
      <c r="U9" s="50" t="s">
        <v>205</v>
      </c>
    </row>
    <row r="10" spans="1:21">
      <c r="B10" s="179"/>
      <c r="C10" s="180"/>
      <c r="G10" s="232"/>
      <c r="S10" s="40" t="s">
        <v>386</v>
      </c>
      <c r="T10" s="54">
        <v>40</v>
      </c>
      <c r="U10" s="42">
        <v>8</v>
      </c>
    </row>
    <row r="11" spans="1:21">
      <c r="B11" s="105" t="s">
        <v>288</v>
      </c>
      <c r="C11" s="70">
        <v>12</v>
      </c>
      <c r="G11" s="232"/>
      <c r="S11" s="40" t="s">
        <v>387</v>
      </c>
      <c r="T11" s="54">
        <v>51</v>
      </c>
      <c r="U11" s="42">
        <v>8</v>
      </c>
    </row>
    <row r="12" spans="1:21" ht="15" customHeight="1">
      <c r="B12" s="105" t="s">
        <v>237</v>
      </c>
      <c r="C12" s="132">
        <v>20</v>
      </c>
      <c r="E12" s="226" t="str">
        <f>Messages!C28</f>
        <v/>
      </c>
      <c r="F12" s="226"/>
      <c r="G12" s="226"/>
      <c r="H12" s="226"/>
      <c r="J12" s="128" t="s">
        <v>273</v>
      </c>
      <c r="K12" s="133">
        <v>100</v>
      </c>
      <c r="S12" s="48" t="s">
        <v>388</v>
      </c>
      <c r="T12" s="53">
        <v>62</v>
      </c>
      <c r="U12" s="50">
        <v>8</v>
      </c>
    </row>
    <row r="13" spans="1:21" ht="15" customHeight="1">
      <c r="B13" s="213" t="s">
        <v>249</v>
      </c>
      <c r="C13" s="213"/>
      <c r="E13" s="226"/>
      <c r="F13" s="226"/>
      <c r="G13" s="226"/>
      <c r="H13" s="226"/>
      <c r="J13" s="128" t="s">
        <v>274</v>
      </c>
      <c r="K13" s="133">
        <v>50</v>
      </c>
      <c r="S13" s="48" t="s">
        <v>389</v>
      </c>
      <c r="T13" s="53">
        <v>71.3</v>
      </c>
      <c r="U13" s="50">
        <v>8</v>
      </c>
    </row>
    <row r="14" spans="1:21" ht="15" customHeight="1">
      <c r="B14" s="214"/>
      <c r="C14" s="214"/>
      <c r="E14" s="226"/>
      <c r="F14" s="226"/>
      <c r="G14" s="226"/>
      <c r="H14" s="226"/>
    </row>
    <row r="15" spans="1:21">
      <c r="B15" s="177"/>
      <c r="C15" s="177"/>
      <c r="E15" s="226"/>
      <c r="F15" s="226"/>
      <c r="G15" s="226"/>
      <c r="H15" s="226"/>
    </row>
    <row r="16" spans="1:21">
      <c r="B16" s="33"/>
      <c r="C16" s="33"/>
    </row>
    <row r="17" spans="1:21" ht="15" customHeight="1">
      <c r="A17" s="140" t="s">
        <v>375</v>
      </c>
      <c r="B17" s="207" t="s">
        <v>372</v>
      </c>
      <c r="C17" s="208"/>
      <c r="E17" s="215" t="s">
        <v>275</v>
      </c>
      <c r="F17" s="215"/>
      <c r="G17" s="215"/>
      <c r="H17" s="215"/>
      <c r="J17" s="215" t="s">
        <v>276</v>
      </c>
      <c r="K17" s="215"/>
      <c r="L17" s="215"/>
      <c r="M17" s="215"/>
      <c r="N17" s="215"/>
      <c r="P17" s="215" t="str">
        <f>IF(AND(C24&gt;0,C24&lt;24),C24&amp;"-CABLE BUNDLE","24-CABLE BUNDLES")</f>
        <v>24-CABLE BUNDLES</v>
      </c>
      <c r="Q17" s="215"/>
      <c r="R17" s="215"/>
      <c r="S17" s="215"/>
      <c r="T17" s="215"/>
      <c r="U17" s="215"/>
    </row>
    <row r="18" spans="1:21">
      <c r="B18" s="105" t="s">
        <v>348</v>
      </c>
      <c r="C18" s="46" t="s">
        <v>32</v>
      </c>
    </row>
    <row r="19" spans="1:21">
      <c r="B19" s="105" t="s">
        <v>349</v>
      </c>
      <c r="C19" s="46" t="s">
        <v>29</v>
      </c>
      <c r="E19" s="224" t="s">
        <v>282</v>
      </c>
      <c r="F19" s="225"/>
      <c r="G19" s="172" t="str">
        <f>IF(ISERROR('Calc-round bundle'!$Z11),"",'Calc-round bundle'!$Z11)</f>
        <v>21°C (+0,6°C)</v>
      </c>
      <c r="H19" s="110"/>
      <c r="I19" s="33"/>
      <c r="J19" s="224" t="s">
        <v>282</v>
      </c>
      <c r="K19" s="225"/>
      <c r="L19" s="172" t="str">
        <f>IF(ISERROR('Calc-flat bundle'!$Z11),"",'Calc-flat bundle'!$Z11)</f>
        <v>21°C (+0,6°C)</v>
      </c>
      <c r="M19" s="110"/>
      <c r="N19" s="110"/>
      <c r="O19" s="33"/>
      <c r="P19" s="224" t="s">
        <v>282</v>
      </c>
      <c r="Q19" s="227"/>
      <c r="R19" s="225"/>
      <c r="S19" s="151" t="str">
        <f>IF(ISERROR('Calc-24-cable bundle'!$Z11),"",'Calc-24-cable bundle'!$Z11)</f>
        <v>21°C (+0,6°C)</v>
      </c>
      <c r="T19" s="129"/>
      <c r="U19" s="127"/>
    </row>
    <row r="20" spans="1:21">
      <c r="B20" s="105" t="s">
        <v>350</v>
      </c>
      <c r="C20" s="46" t="s">
        <v>111</v>
      </c>
      <c r="E20" s="224" t="s">
        <v>283</v>
      </c>
      <c r="F20" s="227"/>
      <c r="G20" s="151" t="str">
        <f>IF(ISERROR('Calc-round bundle'!$AA11),"",'Calc-round bundle'!$AA11)</f>
        <v>46°C (+0,6°C)</v>
      </c>
      <c r="H20" s="110"/>
      <c r="I20" s="33"/>
      <c r="J20" s="224" t="s">
        <v>283</v>
      </c>
      <c r="K20" s="227"/>
      <c r="L20" s="151" t="str">
        <f>IF(ISERROR('Calc-flat bundle'!$AA11),"",'Calc-flat bundle'!$AA11)</f>
        <v>45°C (+0,4°C)</v>
      </c>
      <c r="M20" s="110"/>
      <c r="N20" s="110"/>
      <c r="O20" s="33"/>
      <c r="P20" s="224" t="s">
        <v>283</v>
      </c>
      <c r="Q20" s="227"/>
      <c r="R20" s="225"/>
      <c r="S20" s="151" t="str">
        <f>IF(ISERROR('Calc-24-cable bundle'!$AA11),"",'Calc-24-cable bundle'!$AA11)</f>
        <v>45°C (+0,4°C)</v>
      </c>
      <c r="T20" s="129"/>
      <c r="U20" s="127"/>
    </row>
    <row r="21" spans="1:21">
      <c r="B21" s="56" t="s">
        <v>0</v>
      </c>
      <c r="C21" s="74" t="str">
        <f>'Cable and cord selector'!D2</f>
        <v>VDICD116118GHD</v>
      </c>
      <c r="E21" s="224" t="s">
        <v>255</v>
      </c>
      <c r="F21" s="225"/>
      <c r="G21" s="173">
        <f>IF(ISERROR('Calc-round bundle'!$Z16),"",'Calc-round bundle'!$Z16)</f>
        <v>0.61748890036522064</v>
      </c>
      <c r="H21" s="33"/>
      <c r="I21" s="33"/>
      <c r="J21" s="224" t="s">
        <v>255</v>
      </c>
      <c r="K21" s="225"/>
      <c r="L21" s="173">
        <f>IF(ISERROR('Calc-flat bundle'!$Z16),"",'Calc-flat bundle'!$Z16)</f>
        <v>0.61663140911303371</v>
      </c>
      <c r="M21" s="110"/>
      <c r="N21" s="33"/>
      <c r="O21" s="33"/>
      <c r="P21" s="224" t="s">
        <v>255</v>
      </c>
      <c r="Q21" s="227"/>
      <c r="R21" s="225"/>
      <c r="S21" s="152">
        <f>IF(ISERROR('Calc-24-cable bundle'!$Z16),"",'Calc-24-cable bundle'!$Z16)</f>
        <v>0.6166679215492441</v>
      </c>
      <c r="T21" s="129"/>
    </row>
    <row r="22" spans="1:21">
      <c r="B22" s="180"/>
      <c r="C22" s="180"/>
      <c r="E22" s="224" t="s">
        <v>323</v>
      </c>
      <c r="F22" s="225"/>
      <c r="G22" s="152">
        <f>IF(ISERROR('Calc-round bundle'!$AB16),"",'Calc-round bundle'!$AB16)</f>
        <v>0.62680921741107742</v>
      </c>
      <c r="H22" s="33"/>
      <c r="I22" s="33"/>
      <c r="J22" s="224" t="s">
        <v>323</v>
      </c>
      <c r="K22" s="225"/>
      <c r="L22" s="152">
        <f>IF(ISERROR('Calc-flat bundle'!$AB16),"",'Calc-flat bundle'!$AB16)</f>
        <v>0.62581834097267386</v>
      </c>
      <c r="M22" s="33"/>
      <c r="N22" s="33"/>
      <c r="O22" s="33"/>
      <c r="P22" s="224" t="s">
        <v>323</v>
      </c>
      <c r="Q22" s="227"/>
      <c r="R22" s="225"/>
      <c r="S22" s="152">
        <f>IF(ISERROR('Calc-24-cable bundle'!$AB16),"",'Calc-24-cable bundle'!$AB16)</f>
        <v>0.62586053284336729</v>
      </c>
      <c r="T22" s="130"/>
    </row>
    <row r="23" spans="1:21">
      <c r="B23" s="105" t="s">
        <v>145</v>
      </c>
      <c r="C23" s="125">
        <v>50</v>
      </c>
      <c r="E23" s="33"/>
      <c r="F23" s="33"/>
      <c r="G23" s="33"/>
      <c r="H23" s="33"/>
      <c r="I23" s="33"/>
      <c r="J23" s="33"/>
      <c r="K23" s="33"/>
      <c r="L23" s="33"/>
      <c r="M23" s="110"/>
      <c r="N23" s="33"/>
      <c r="O23" s="33"/>
      <c r="P23" s="33"/>
      <c r="Q23" s="33"/>
      <c r="R23" s="33"/>
      <c r="S23" s="33"/>
      <c r="T23" s="129"/>
    </row>
    <row r="24" spans="1:21">
      <c r="B24" s="105" t="s">
        <v>289</v>
      </c>
      <c r="C24" s="70">
        <v>48</v>
      </c>
      <c r="E24" s="187" t="str">
        <f>IF($P4="Current = 1A per pair","Power @ PD","Power @ PSE")</f>
        <v>Power @ PSE</v>
      </c>
      <c r="F24" s="187"/>
      <c r="G24" s="131">
        <f>IF(G25="","",IF(E24="Power @ PD",104-G25,$Q7+G25))</f>
        <v>25.674956677977402</v>
      </c>
      <c r="H24" s="33"/>
      <c r="I24" s="33"/>
      <c r="J24" s="187" t="str">
        <f>IF($P4="Current = 1A per pair","Power @ PD","Power @ PSE")</f>
        <v>Power @ PSE</v>
      </c>
      <c r="K24" s="187"/>
      <c r="L24" s="131">
        <f>IF(L25="","",IF(J24="Power @ PD",104-L25,$Q7+L25))</f>
        <v>25.674509164405148</v>
      </c>
      <c r="M24" s="110"/>
      <c r="N24" s="33"/>
      <c r="O24" s="33"/>
      <c r="P24" s="187" t="str">
        <f>IF($P4="Current = 1A per pair","Power @ PD","Power @ PSE")</f>
        <v>Power @ PSE</v>
      </c>
      <c r="Q24" s="187"/>
      <c r="R24" s="187"/>
      <c r="S24" s="131">
        <f>IF(S25="","",IF(Q24="Power @ PD",104-S25,$Q7+S25))</f>
        <v>25.674562252367803</v>
      </c>
      <c r="T24" s="129"/>
    </row>
    <row r="25" spans="1:21">
      <c r="B25" s="105" t="s">
        <v>237</v>
      </c>
      <c r="C25" s="132">
        <v>45</v>
      </c>
      <c r="E25" s="224" t="s">
        <v>279</v>
      </c>
      <c r="F25" s="225"/>
      <c r="G25" s="131">
        <f>IF(ISERROR(SUM('Calc-round bundle'!$Z18:$AB18)),"",SUM('Calc-round bundle'!$Z18:$AB18))</f>
        <v>0.67495667797740277</v>
      </c>
      <c r="H25" s="33"/>
      <c r="I25" s="33"/>
      <c r="J25" s="224" t="s">
        <v>279</v>
      </c>
      <c r="K25" s="225"/>
      <c r="L25" s="131">
        <f>IF(ISERROR(SUM('Calc-flat bundle'!$Z18:$AB18)),"",SUM('Calc-flat bundle'!$Z18:$AB18))</f>
        <v>0.67450916440514885</v>
      </c>
      <c r="M25" s="110"/>
      <c r="N25" s="33"/>
      <c r="O25" s="33"/>
      <c r="P25" s="224" t="s">
        <v>279</v>
      </c>
      <c r="Q25" s="227"/>
      <c r="R25" s="225"/>
      <c r="S25" s="131">
        <f>IF(ISERROR(SUM('Calc-24-cable bundle'!$Z18:$AB18)),"",SUM('Calc-24-cable bundle'!$Z18:$AB18))</f>
        <v>0.67456225236780321</v>
      </c>
      <c r="T25" s="129"/>
    </row>
    <row r="26" spans="1:21" ht="15" customHeight="1">
      <c r="E26" s="224" t="s">
        <v>280</v>
      </c>
      <c r="F26" s="225"/>
      <c r="G26" s="152">
        <f>IF(ISERROR(IF(E24="power @ PD",G24/104,$Q7/($Q7+G25))),"",IF(E24="power @ PD",G24/104,$Q7/($Q7+G25)))</f>
        <v>0.97371147743527275</v>
      </c>
      <c r="H26" s="228" t="s">
        <v>504</v>
      </c>
      <c r="I26" s="33"/>
      <c r="J26" s="224" t="s">
        <v>280</v>
      </c>
      <c r="K26" s="225"/>
      <c r="L26" s="152">
        <f>IF(ISERROR(IF(J24="power @ PD",L24/104,$Q7/($Q7+L25))),"",IF(J24="power @ PD",L24/104,$Q7/($Q7+L25)))</f>
        <v>0.97372844948715598</v>
      </c>
      <c r="M26" s="228" t="s">
        <v>504</v>
      </c>
      <c r="N26" s="228"/>
      <c r="O26" s="33"/>
      <c r="P26" s="224" t="s">
        <v>280</v>
      </c>
      <c r="Q26" s="227"/>
      <c r="R26" s="225"/>
      <c r="S26" s="152">
        <f>IF(ISERROR(IF(P24="power @ PD",S24/104,$Q7/($Q7+S25))),"",IF(P24="power @ PD",S24/104,$Q7/($Q7+S25)))</f>
        <v>0.9737264360834198</v>
      </c>
      <c r="T26" s="228" t="s">
        <v>504</v>
      </c>
      <c r="U26" s="228"/>
    </row>
    <row r="27" spans="1:21">
      <c r="B27" s="33"/>
      <c r="C27" s="33"/>
      <c r="E27" s="187" t="s">
        <v>281</v>
      </c>
      <c r="F27" s="187"/>
      <c r="G27" s="153">
        <f>IF(ISERROR(G25*24),"",G25*24)</f>
        <v>16.198960271457665</v>
      </c>
      <c r="H27" s="233"/>
      <c r="I27" s="33"/>
      <c r="J27" s="224" t="s">
        <v>281</v>
      </c>
      <c r="K27" s="225"/>
      <c r="L27" s="153">
        <f>IF(ISERROR(L25*24),"",L25*24)</f>
        <v>16.188219945723574</v>
      </c>
      <c r="M27" s="228"/>
      <c r="N27" s="228"/>
      <c r="O27" s="33"/>
      <c r="P27" s="224" t="s">
        <v>281</v>
      </c>
      <c r="Q27" s="227"/>
      <c r="R27" s="225"/>
      <c r="S27" s="153">
        <f>IF(ISERROR(S25*24),"",S25*24)</f>
        <v>16.189494056827279</v>
      </c>
      <c r="T27" s="228"/>
      <c r="U27" s="228"/>
    </row>
    <row r="28" spans="1:21" ht="15" customHeight="1">
      <c r="A28" s="141" t="s">
        <v>376</v>
      </c>
      <c r="B28" s="207" t="s">
        <v>373</v>
      </c>
      <c r="C28" s="208"/>
      <c r="E28" s="187" t="s">
        <v>379</v>
      </c>
      <c r="F28" s="187"/>
      <c r="G28" s="154">
        <f>IF(G25="","",IF(E24="Power @ PSE",MAX('Calc-round bundle'!$Z21:$Z249)/2,""))</f>
        <v>0.25728141005099808</v>
      </c>
      <c r="H28" s="233"/>
      <c r="I28" s="33"/>
      <c r="J28" s="187" t="s">
        <v>379</v>
      </c>
      <c r="K28" s="187"/>
      <c r="L28" s="154">
        <f>IF(G25="","",IF(J24="Power @ PSE",MAX('Calc-flat bundle'!$Z21:$Z249)/2,""))</f>
        <v>0.25727603732730131</v>
      </c>
      <c r="M28" s="228"/>
      <c r="N28" s="228"/>
      <c r="O28" s="33"/>
      <c r="P28" s="187" t="s">
        <v>379</v>
      </c>
      <c r="Q28" s="187"/>
      <c r="R28" s="187"/>
      <c r="S28" s="154">
        <f>IF(G25="","",IF(P24="Power @ PSE",MAX('Calc-24-cable bundle'!$Z21:$Z249)/2,""))</f>
        <v>0.25727626644206825</v>
      </c>
      <c r="T28" s="228"/>
      <c r="U28" s="228"/>
    </row>
    <row r="29" spans="1:21" ht="15" customHeight="1">
      <c r="B29" s="105" t="s">
        <v>351</v>
      </c>
      <c r="C29" s="124" t="s">
        <v>284</v>
      </c>
      <c r="E29" s="33"/>
      <c r="F29" s="33"/>
      <c r="G29" s="33"/>
      <c r="H29" s="233"/>
      <c r="I29" s="33"/>
      <c r="J29" s="33"/>
      <c r="K29" s="33"/>
      <c r="L29" s="33"/>
      <c r="M29" s="228"/>
      <c r="N29" s="228"/>
      <c r="O29" s="33"/>
      <c r="P29" s="33"/>
      <c r="Q29" s="33"/>
      <c r="R29" s="33"/>
      <c r="S29" s="33"/>
      <c r="T29" s="228"/>
      <c r="U29" s="228"/>
    </row>
    <row r="30" spans="1:21">
      <c r="B30" s="105" t="s">
        <v>352</v>
      </c>
      <c r="C30" s="124" t="s">
        <v>159</v>
      </c>
      <c r="E30" s="33"/>
      <c r="F30" s="33"/>
      <c r="G30" s="33"/>
      <c r="H30" s="233"/>
      <c r="I30" s="33"/>
      <c r="J30" s="224" t="s">
        <v>277</v>
      </c>
      <c r="K30" s="225"/>
      <c r="L30" s="155">
        <f>IF(OR(ISERROR('Bundle in pathway'!G18),K12="",K13=""),"",'Bundle in pathway'!G18)</f>
        <v>0.375</v>
      </c>
      <c r="M30" s="228"/>
      <c r="N30" s="228"/>
      <c r="O30" s="33"/>
      <c r="P30" s="224" t="s">
        <v>278</v>
      </c>
      <c r="Q30" s="227"/>
      <c r="R30" s="225"/>
      <c r="S30" s="156">
        <f>IF(G25="","",'Bundle in pathway'!B5*6)</f>
        <v>33</v>
      </c>
      <c r="T30" s="228"/>
      <c r="U30" s="228"/>
    </row>
    <row r="31" spans="1:21" ht="15" customHeight="1">
      <c r="B31" s="105" t="s">
        <v>353</v>
      </c>
      <c r="C31" s="125">
        <v>2</v>
      </c>
      <c r="E31" s="33"/>
      <c r="F31" s="33"/>
      <c r="G31" s="33"/>
      <c r="H31" s="33"/>
      <c r="I31" s="33"/>
      <c r="J31" s="224" t="s">
        <v>414</v>
      </c>
      <c r="K31" s="225"/>
      <c r="L31" s="165">
        <f>IF(OR(ISERROR('Bundle in pathway'!H24),K12="",K13=""),"",'Bundle in pathway'!H24)</f>
        <v>6.039419162443239</v>
      </c>
      <c r="M31" s="33"/>
      <c r="N31" s="33"/>
      <c r="O31" s="33"/>
      <c r="P31" s="229" t="s">
        <v>399</v>
      </c>
      <c r="Q31" s="229"/>
      <c r="R31" s="229"/>
      <c r="S31" s="150">
        <f>IF(G25="","",ROUNDUP(S30*0.3,0))</f>
        <v>10</v>
      </c>
      <c r="T31" s="162" t="str">
        <f>IF(I2=1,"","only in ventilatd conditions")</f>
        <v/>
      </c>
    </row>
    <row r="32" spans="1:21">
      <c r="B32" s="209" t="s">
        <v>236</v>
      </c>
      <c r="C32" s="211" t="str">
        <f>'Cable and cord selector'!J31</f>
        <v>ACTPC6ASFLS20yy (yy = color code)</v>
      </c>
      <c r="J32" s="224" t="s">
        <v>200</v>
      </c>
      <c r="K32" s="225"/>
      <c r="L32" s="166">
        <f>IF(OR(ISERROR('Bundle in pathway'!G22),K12="",K13=""),"",'Bundle in pathway'!G22)</f>
        <v>3</v>
      </c>
      <c r="P32" s="148"/>
      <c r="Q32" s="148"/>
      <c r="R32" s="148"/>
      <c r="S32" s="149"/>
    </row>
    <row r="33" spans="2:21">
      <c r="B33" s="210"/>
      <c r="C33" s="212"/>
      <c r="E33" s="230" t="str">
        <f>Messages!C67</f>
        <v/>
      </c>
      <c r="F33" s="231"/>
      <c r="G33" s="231"/>
      <c r="H33" s="231"/>
      <c r="I33" s="161"/>
      <c r="J33" s="230" t="str">
        <f>Messages!C74</f>
        <v/>
      </c>
      <c r="K33" s="231"/>
      <c r="L33" s="231"/>
      <c r="M33" s="231"/>
      <c r="N33" s="231"/>
      <c r="O33" s="161"/>
      <c r="P33" s="230" t="str">
        <f>Messages!C81</f>
        <v/>
      </c>
      <c r="Q33" s="231"/>
      <c r="R33" s="231"/>
      <c r="S33" s="231"/>
      <c r="T33" s="231"/>
      <c r="U33" s="231"/>
    </row>
    <row r="34" spans="2:21">
      <c r="B34" s="180"/>
      <c r="C34" s="180"/>
      <c r="E34" s="231"/>
      <c r="F34" s="231"/>
      <c r="G34" s="231"/>
      <c r="H34" s="231"/>
      <c r="I34" s="161"/>
      <c r="J34" s="231"/>
      <c r="K34" s="231"/>
      <c r="L34" s="231"/>
      <c r="M34" s="231"/>
      <c r="N34" s="231"/>
      <c r="O34" s="161"/>
      <c r="P34" s="231"/>
      <c r="Q34" s="231"/>
      <c r="R34" s="231"/>
      <c r="S34" s="231"/>
      <c r="T34" s="231"/>
      <c r="U34" s="231"/>
    </row>
    <row r="35" spans="2:21">
      <c r="B35" s="105" t="s">
        <v>237</v>
      </c>
      <c r="C35" s="132">
        <v>20</v>
      </c>
      <c r="E35" s="231"/>
      <c r="F35" s="231"/>
      <c r="G35" s="231"/>
      <c r="H35" s="231"/>
      <c r="I35" s="161"/>
      <c r="J35" s="231"/>
      <c r="K35" s="231"/>
      <c r="L35" s="231"/>
      <c r="M35" s="231"/>
      <c r="N35" s="231"/>
      <c r="O35" s="161"/>
      <c r="P35" s="231"/>
      <c r="Q35" s="231"/>
      <c r="R35" s="231"/>
      <c r="S35" s="231"/>
      <c r="T35" s="231"/>
      <c r="U35" s="231"/>
    </row>
    <row r="36" spans="2:21">
      <c r="E36" s="231"/>
      <c r="F36" s="231"/>
      <c r="G36" s="231"/>
      <c r="H36" s="231"/>
      <c r="I36" s="161"/>
      <c r="J36" s="231"/>
      <c r="K36" s="231"/>
      <c r="L36" s="231"/>
      <c r="M36" s="231"/>
      <c r="N36" s="231"/>
      <c r="O36" s="161"/>
      <c r="P36" s="231"/>
      <c r="Q36" s="231"/>
      <c r="R36" s="231"/>
      <c r="S36" s="231"/>
      <c r="T36" s="231"/>
      <c r="U36" s="231"/>
    </row>
  </sheetData>
  <sheetProtection algorithmName="SHA-512" hashValue="ReQl5mpIwEyTSaJCuE4NMyKIH+77fckLUjNHsEggvJPAmeOWXYFLXIcHnt9duHvylUcidkDg6R4hDNWcKNXv9g==" saltValue="DWFcxdLPIuptLy913uq4Og==" spinCount="100000" sheet="1" objects="1" scenarios="1"/>
  <mergeCells count="59">
    <mergeCell ref="J26:K26"/>
    <mergeCell ref="J33:N36"/>
    <mergeCell ref="E33:H36"/>
    <mergeCell ref="G9:G11"/>
    <mergeCell ref="E24:F24"/>
    <mergeCell ref="J24:K24"/>
    <mergeCell ref="E19:F19"/>
    <mergeCell ref="E20:F20"/>
    <mergeCell ref="J22:K22"/>
    <mergeCell ref="J31:K31"/>
    <mergeCell ref="J32:K32"/>
    <mergeCell ref="E28:F28"/>
    <mergeCell ref="J28:K28"/>
    <mergeCell ref="H26:H30"/>
    <mergeCell ref="J27:K27"/>
    <mergeCell ref="J30:K30"/>
    <mergeCell ref="P31:R31"/>
    <mergeCell ref="B32:B33"/>
    <mergeCell ref="C32:C33"/>
    <mergeCell ref="P20:R20"/>
    <mergeCell ref="P19:R19"/>
    <mergeCell ref="J25:K25"/>
    <mergeCell ref="E25:F25"/>
    <mergeCell ref="E21:F21"/>
    <mergeCell ref="P22:R22"/>
    <mergeCell ref="P25:R25"/>
    <mergeCell ref="P21:R21"/>
    <mergeCell ref="P33:U36"/>
    <mergeCell ref="J20:K20"/>
    <mergeCell ref="J19:K19"/>
    <mergeCell ref="P24:R24"/>
    <mergeCell ref="P30:R30"/>
    <mergeCell ref="P28:R28"/>
    <mergeCell ref="T4:T5"/>
    <mergeCell ref="U4:U5"/>
    <mergeCell ref="S4:S5"/>
    <mergeCell ref="E17:H17"/>
    <mergeCell ref="J17:N17"/>
    <mergeCell ref="P17:U17"/>
    <mergeCell ref="E22:F22"/>
    <mergeCell ref="J21:K21"/>
    <mergeCell ref="E12:H15"/>
    <mergeCell ref="P27:R27"/>
    <mergeCell ref="P26:R26"/>
    <mergeCell ref="E26:F26"/>
    <mergeCell ref="E27:F27"/>
    <mergeCell ref="T26:U30"/>
    <mergeCell ref="M26:N30"/>
    <mergeCell ref="P2:U2"/>
    <mergeCell ref="P4:Q5"/>
    <mergeCell ref="P9:Q9"/>
    <mergeCell ref="B2:H2"/>
    <mergeCell ref="J2:N2"/>
    <mergeCell ref="B28:C28"/>
    <mergeCell ref="B8:B9"/>
    <mergeCell ref="C8:C9"/>
    <mergeCell ref="B4:C4"/>
    <mergeCell ref="B17:C17"/>
    <mergeCell ref="B13:C14"/>
  </mergeCells>
  <conditionalFormatting sqref="L30">
    <cfRule type="cellIs" dxfId="31" priority="35" operator="equal">
      <formula>" &gt; 100%"</formula>
    </cfRule>
  </conditionalFormatting>
  <conditionalFormatting sqref="P7:Q7">
    <cfRule type="expression" dxfId="30" priority="21">
      <formula>IF($P$4="Current = 1A per pair",TRUE,FALSE)</formula>
    </cfRule>
    <cfRule type="expression" dxfId="29" priority="22">
      <formula>IF($P$4="Current = 1A per pair",TRUE,FALSE)</formula>
    </cfRule>
  </conditionalFormatting>
  <conditionalFormatting sqref="P8:Q8">
    <cfRule type="expression" dxfId="28" priority="23" stopIfTrue="1">
      <formula>IF($P$4="Current = 1A per pair",TRUE,FALSE)</formula>
    </cfRule>
  </conditionalFormatting>
  <conditionalFormatting sqref="E28:G28 O28:S28 I28:L28">
    <cfRule type="expression" dxfId="27" priority="20">
      <formula>IF($P$4="current = 1A per pair",TRUE,FALSE)</formula>
    </cfRule>
  </conditionalFormatting>
  <conditionalFormatting sqref="E28:G28">
    <cfRule type="expression" dxfId="26" priority="19">
      <formula>IF($P$4="current = 1A per pair",TRUE,FALSE)</formula>
    </cfRule>
  </conditionalFormatting>
  <conditionalFormatting sqref="J28:L28">
    <cfRule type="expression" dxfId="25" priority="18">
      <formula>IF($P$4="current = 1A per pair",TRUE,FALSE)</formula>
    </cfRule>
  </conditionalFormatting>
  <conditionalFormatting sqref="P28:S28">
    <cfRule type="expression" dxfId="24" priority="17">
      <formula>IF($P$4="current = 1A per pair",TRUE,FALSE)</formula>
    </cfRule>
  </conditionalFormatting>
  <conditionalFormatting sqref="G21:G22 L21:L22 S21:S22">
    <cfRule type="cellIs" dxfId="23" priority="6" operator="greaterThan">
      <formula>1</formula>
    </cfRule>
    <cfRule type="cellIs" dxfId="22" priority="7" operator="between">
      <formula>0.95</formula>
      <formula>1</formula>
    </cfRule>
  </conditionalFormatting>
  <conditionalFormatting sqref="L31">
    <cfRule type="cellIs" dxfId="21" priority="5" operator="equal">
      <formula>" &gt; 100%"</formula>
    </cfRule>
  </conditionalFormatting>
  <conditionalFormatting sqref="L32">
    <cfRule type="cellIs" dxfId="20" priority="4" operator="equal">
      <formula>" &gt; 100%"</formula>
    </cfRule>
  </conditionalFormatting>
  <conditionalFormatting sqref="H26:H30">
    <cfRule type="expression" dxfId="19" priority="3">
      <formula>IF(AND($E$12="",$E$33="",$P$4="Current = 1A per pair"),FALSE,TRUE)</formula>
    </cfRule>
  </conditionalFormatting>
  <conditionalFormatting sqref="M26:N30">
    <cfRule type="expression" dxfId="18" priority="2">
      <formula>IF(AND($E$12="",$J$33="",$P$4="Current = 1A per pair"),FALSE,TRUE)</formula>
    </cfRule>
  </conditionalFormatting>
  <conditionalFormatting sqref="T26:U30">
    <cfRule type="expression" dxfId="17" priority="1">
      <formula>IF(AND($T$31="",$E$12="",$P$33="",$P$4="Current = 1A per pair"),FALSE,TRUE)</formula>
    </cfRule>
  </conditionalFormatting>
  <dataValidations count="2">
    <dataValidation type="list" allowBlank="1" showInputMessage="1" showErrorMessage="1" sqref="C7 C31" xr:uid="{17874E7A-A252-4801-97CB-636FC93272F0}">
      <formula1>"0.5,1,2,3,5"</formula1>
    </dataValidation>
    <dataValidation type="list" allowBlank="1" showInputMessage="1" showErrorMessage="1" sqref="P4:Q5" xr:uid="{7952F146-6229-4F61-A064-AD513A0B4210}">
      <formula1>"Power Device,Current = 1A per pair"</formula1>
    </dataValidation>
  </dataValidations>
  <pageMargins left="0.70866141732283472" right="0.70866141732283472" top="0.74803149606299213" bottom="0.74803149606299213" header="0.31496062992125984" footer="0.31496062992125984"/>
  <pageSetup paperSize="9" scale="50" orientation="landscape" horizontalDpi="9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8196" r:id="rId4" name="Option Button 4">
              <controlPr defaultSize="0" autoFill="0" autoLine="0" autoPict="0">
                <anchor moveWithCells="1">
                  <from>
                    <xdr:col>8</xdr:col>
                    <xdr:colOff>114300</xdr:colOff>
                    <xdr:row>6</xdr:row>
                    <xdr:rowOff>9525</xdr:rowOff>
                  </from>
                  <to>
                    <xdr:col>10</xdr:col>
                    <xdr:colOff>428625</xdr:colOff>
                    <xdr:row>8</xdr:row>
                    <xdr:rowOff>28575</xdr:rowOff>
                  </to>
                </anchor>
              </controlPr>
            </control>
          </mc:Choice>
        </mc:AlternateContent>
        <mc:AlternateContent xmlns:mc="http://schemas.openxmlformats.org/markup-compatibility/2006">
          <mc:Choice Requires="x14">
            <control shapeId="8197" r:id="rId5" name="Option Button 5">
              <controlPr defaultSize="0" autoFill="0" autoLine="0" autoPict="0">
                <anchor moveWithCells="1">
                  <from>
                    <xdr:col>10</xdr:col>
                    <xdr:colOff>609600</xdr:colOff>
                    <xdr:row>6</xdr:row>
                    <xdr:rowOff>9525</xdr:rowOff>
                  </from>
                  <to>
                    <xdr:col>12</xdr:col>
                    <xdr:colOff>257175</xdr:colOff>
                    <xdr:row>8</xdr:row>
                    <xdr:rowOff>28575</xdr:rowOff>
                  </to>
                </anchor>
              </controlPr>
            </control>
          </mc:Choice>
        </mc:AlternateContent>
        <mc:AlternateContent xmlns:mc="http://schemas.openxmlformats.org/markup-compatibility/2006">
          <mc:Choice Requires="x14">
            <control shapeId="8198" r:id="rId6" name="Option Button 6">
              <controlPr defaultSize="0" autoFill="0" autoLine="0" autoPict="0">
                <anchor moveWithCells="1">
                  <from>
                    <xdr:col>12</xdr:col>
                    <xdr:colOff>438150</xdr:colOff>
                    <xdr:row>6</xdr:row>
                    <xdr:rowOff>9525</xdr:rowOff>
                  </from>
                  <to>
                    <xdr:col>13</xdr:col>
                    <xdr:colOff>800100</xdr:colOff>
                    <xdr:row>8</xdr:row>
                    <xdr:rowOff>28575</xdr:rowOff>
                  </to>
                </anchor>
              </controlPr>
            </control>
          </mc:Choice>
        </mc:AlternateContent>
        <mc:AlternateContent xmlns:mc="http://schemas.openxmlformats.org/markup-compatibility/2006">
          <mc:Choice Requires="x14">
            <control shapeId="8199" r:id="rId7" name="Option Button 7">
              <controlPr defaultSize="0" autoFill="0" autoLine="0" autoPict="0">
                <anchor moveWithCells="1">
                  <from>
                    <xdr:col>12</xdr:col>
                    <xdr:colOff>438150</xdr:colOff>
                    <xdr:row>11</xdr:row>
                    <xdr:rowOff>28575</xdr:rowOff>
                  </from>
                  <to>
                    <xdr:col>13</xdr:col>
                    <xdr:colOff>800100</xdr:colOff>
                    <xdr:row>13</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6" id="{91EA8DAF-9F12-48C6-AF8B-2C440DA7091C}">
            <xm:f>IF(Messages!$B63=3,TRUE,FALSE)</xm:f>
            <x14:dxf>
              <font>
                <b/>
                <i val="0"/>
                <color rgb="FFFF0000"/>
              </font>
            </x14:dxf>
          </x14:cfRule>
          <x14:cfRule type="expression" priority="41" id="{95729FFD-0B69-4A6F-B028-E5C4D9058043}">
            <xm:f>IF(Messages!$B63=2,TRUE,FALSE)</xm:f>
            <x14:dxf>
              <font>
                <b/>
                <i val="0"/>
                <color rgb="FFFFC000"/>
              </font>
            </x14:dxf>
          </x14:cfRule>
          <xm:sqref>G19:G20</xm:sqref>
        </x14:conditionalFormatting>
        <x14:conditionalFormatting xmlns:xm="http://schemas.microsoft.com/office/excel/2006/main">
          <x14:cfRule type="expression" priority="13" id="{58B99F82-090E-4677-801B-0B67CF17F198}">
            <xm:f>IF(Messages!$B70=2,TRUE,FALSE)</xm:f>
            <x14:dxf>
              <font>
                <b/>
                <i val="0"/>
                <color rgb="FFFFC000"/>
              </font>
            </x14:dxf>
          </x14:cfRule>
          <x14:cfRule type="expression" priority="37" id="{2DF9B6A9-EAA0-48D5-882D-8C752CE1A206}">
            <xm:f>IF(Messages!$B70=3,TRUE,FALSE)</xm:f>
            <x14:dxf>
              <font>
                <b/>
                <i val="0"/>
                <color rgb="FFFF0000"/>
              </font>
            </x14:dxf>
          </x14:cfRule>
          <xm:sqref>L19:L20</xm:sqref>
        </x14:conditionalFormatting>
        <x14:conditionalFormatting xmlns:xm="http://schemas.microsoft.com/office/excel/2006/main">
          <x14:cfRule type="expression" priority="10" id="{5F0C63F6-92D8-4597-B800-8D770E83840A}">
            <xm:f>IF(Messages!$B77=2,TRUE,FALSE)</xm:f>
            <x14:dxf>
              <font>
                <b/>
                <i val="0"/>
                <color rgb="FFFFC000"/>
              </font>
            </x14:dxf>
          </x14:cfRule>
          <x14:cfRule type="expression" priority="36" id="{E7447E70-866E-4E99-AEA4-09A8565EDBDD}">
            <xm:f>IF(Messages!$B77=3,TRUE,FALSE)</xm:f>
            <x14:dxf>
              <font>
                <b/>
                <i val="0"/>
                <color rgb="FFFF0000"/>
              </font>
            </x14:dxf>
          </x14:cfRule>
          <xm:sqref>S19:S20</xm:sqref>
        </x14:conditionalFormatting>
        <x14:conditionalFormatting xmlns:xm="http://schemas.microsoft.com/office/excel/2006/main">
          <x14:cfRule type="expression" priority="34" id="{3D229304-A043-40A5-850B-EC6F67562D29}">
            <xm:f>IF(Messages!$B$4=1,TRUE,FALSE)</xm:f>
            <x14:dxf>
              <font>
                <b/>
                <i val="0"/>
                <color rgb="FFFF0000"/>
              </font>
            </x14:dxf>
          </x14:cfRule>
          <xm:sqref>B5:C7</xm:sqref>
        </x14:conditionalFormatting>
        <x14:conditionalFormatting xmlns:xm="http://schemas.microsoft.com/office/excel/2006/main">
          <x14:cfRule type="expression" priority="33" id="{21997B99-1A20-4CD6-AEB4-266BF256B1DE}">
            <xm:f>IF(Messages!$B$5=1,TRUE,FALSE)</xm:f>
            <x14:dxf>
              <font>
                <b/>
                <i val="0"/>
                <color rgb="FFFF0000"/>
              </font>
            </x14:dxf>
          </x14:cfRule>
          <xm:sqref>B11:C11</xm:sqref>
        </x14:conditionalFormatting>
        <x14:conditionalFormatting xmlns:xm="http://schemas.microsoft.com/office/excel/2006/main">
          <x14:cfRule type="expression" priority="32" id="{CF9EC412-B1F7-46EE-9992-72313FC99BF9}">
            <xm:f>IF(Messages!$B$6=1,TRUE,FALSE)</xm:f>
            <x14:dxf>
              <font>
                <b/>
                <i val="0"/>
                <color rgb="FFFF0000"/>
              </font>
            </x14:dxf>
          </x14:cfRule>
          <xm:sqref>B12:C12</xm:sqref>
        </x14:conditionalFormatting>
        <x14:conditionalFormatting xmlns:xm="http://schemas.microsoft.com/office/excel/2006/main">
          <x14:cfRule type="expression" priority="31" id="{879A5BF3-87A4-4EAC-A158-C7C3470BCF12}">
            <xm:f>IF(Messages!$B$9=1,TRUE,FALSE)</xm:f>
            <x14:dxf>
              <font>
                <b/>
                <i val="0"/>
                <color rgb="FFFF0000"/>
              </font>
            </x14:dxf>
          </x14:cfRule>
          <xm:sqref>B18:C20</xm:sqref>
        </x14:conditionalFormatting>
        <x14:conditionalFormatting xmlns:xm="http://schemas.microsoft.com/office/excel/2006/main">
          <x14:cfRule type="expression" priority="30" id="{E91F353A-D366-4A13-8A59-8C4E0CC5B533}">
            <xm:f>IF(Messages!$B$11=1,TRUE,faus)</xm:f>
            <x14:dxf>
              <font>
                <b/>
                <i val="0"/>
                <color rgb="FFFF0000"/>
              </font>
            </x14:dxf>
          </x14:cfRule>
          <xm:sqref>B24:C24</xm:sqref>
        </x14:conditionalFormatting>
        <x14:conditionalFormatting xmlns:xm="http://schemas.microsoft.com/office/excel/2006/main">
          <x14:cfRule type="expression" priority="29" id="{08C65AB9-1AE6-4C01-87BE-C37AD5094AAD}">
            <xm:f>IF(Messages!$B$10=1,TRUE,FALSE)</xm:f>
            <x14:dxf>
              <font>
                <b/>
                <i val="0"/>
                <color rgb="FFFF0000"/>
              </font>
            </x14:dxf>
          </x14:cfRule>
          <xm:sqref>B23:C23</xm:sqref>
        </x14:conditionalFormatting>
        <x14:conditionalFormatting xmlns:xm="http://schemas.microsoft.com/office/excel/2006/main">
          <x14:cfRule type="expression" priority="28" id="{5A07A801-1DF2-43D7-827D-870C0C97B348}">
            <xm:f>IF(Messages!$B$12=1,TRUE,FALSE)</xm:f>
            <x14:dxf>
              <font>
                <b/>
                <i val="0"/>
                <color rgb="FFFF0000"/>
              </font>
            </x14:dxf>
          </x14:cfRule>
          <xm:sqref>B25:C25</xm:sqref>
        </x14:conditionalFormatting>
        <x14:conditionalFormatting xmlns:xm="http://schemas.microsoft.com/office/excel/2006/main">
          <x14:cfRule type="expression" priority="27" id="{0F481519-FC25-4AAF-B993-7E87A445F606}">
            <xm:f>IF(Messages!$B$19=1,TRUE,FALSE)</xm:f>
            <x14:dxf>
              <font>
                <b/>
                <i val="0"/>
                <color rgb="FFFF0000"/>
              </font>
            </x14:dxf>
          </x14:cfRule>
          <xm:sqref>J12:K12</xm:sqref>
        </x14:conditionalFormatting>
        <x14:conditionalFormatting xmlns:xm="http://schemas.microsoft.com/office/excel/2006/main">
          <x14:cfRule type="expression" priority="26" id="{BA7FDE25-BD6D-417B-A42E-4F39C5A641FA}">
            <xm:f>IF(Messages!$B$20=1,TRUE,FALSE)</xm:f>
            <x14:dxf>
              <font>
                <b/>
                <i val="0"/>
                <color rgb="FFFF0000"/>
              </font>
            </x14:dxf>
          </x14:cfRule>
          <xm:sqref>J13:K13</xm:sqref>
        </x14:conditionalFormatting>
        <x14:conditionalFormatting xmlns:xm="http://schemas.microsoft.com/office/excel/2006/main">
          <x14:cfRule type="expression" priority="25" id="{1009242F-ACF7-4C76-A38C-E5242D83FA2F}">
            <xm:f>IF(Messages!$B$23=1,TRUE,FALSE)</xm:f>
            <x14:dxf>
              <font>
                <b/>
                <i val="0"/>
                <color rgb="FFFF0000"/>
              </font>
            </x14:dxf>
          </x14:cfRule>
          <xm:sqref>P7:Q7</xm:sqref>
        </x14:conditionalFormatting>
        <x14:conditionalFormatting xmlns:xm="http://schemas.microsoft.com/office/excel/2006/main">
          <x14:cfRule type="expression" priority="24" id="{A3133AE4-1C41-452A-9607-6B436CEC0B87}">
            <xm:f>IF(Messages!$B$24=1,TRUE,FALSE)</xm:f>
            <x14:dxf>
              <font>
                <b/>
                <i val="0"/>
                <color rgb="FFFF0000"/>
              </font>
            </x14:dxf>
          </x14:cfRule>
          <xm:sqref>P8:Q8</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277AD4F4-4D59-41BB-A8EE-9E014B43DEC8}">
          <x14:formula1>
            <xm:f>'Cable and cord selector'!$H$35:$H$40</xm:f>
          </x14:formula1>
          <xm:sqref>C30</xm:sqref>
        </x14:dataValidation>
        <x14:dataValidation type="list" allowBlank="1" showInputMessage="1" showErrorMessage="1" xr:uid="{DAF0CE18-D244-4E15-A860-52AE9B0003DE}">
          <x14:formula1>
            <xm:f>'Cable and cord selector'!$G$35:$G$36</xm:f>
          </x14:formula1>
          <xm:sqref>C29</xm:sqref>
        </x14:dataValidation>
        <x14:dataValidation type="list" allowBlank="1" showInputMessage="1" showErrorMessage="1" xr:uid="{FAB36CAC-37F7-4F2C-838C-9CF37C5F7019}">
          <x14:formula1>
            <xm:f>'Cable and cord selector'!$B$35:$B$40</xm:f>
          </x14:formula1>
          <xm:sqref>C6</xm:sqref>
        </x14:dataValidation>
        <x14:dataValidation type="list" allowBlank="1" showInputMessage="1" showErrorMessage="1" xr:uid="{9BC15C16-3518-4BBA-8232-069F6CAEF959}">
          <x14:formula1>
            <xm:f>'Cable and cord selector'!$A$35:$A$36</xm:f>
          </x14:formula1>
          <xm:sqref>C5</xm:sqref>
        </x14:dataValidation>
        <x14:dataValidation type="list" allowBlank="1" showInputMessage="1" showErrorMessage="1" xr:uid="{6BD23C79-F4AB-417C-AA3A-47C50E36AF7F}">
          <x14:formula1>
            <xm:f>'Constant list'!$F$37:$G$37</xm:f>
          </x14:formula1>
          <xm:sqref>Q8</xm:sqref>
        </x14:dataValidation>
        <x14:dataValidation type="list" allowBlank="1" showInputMessage="1" showErrorMessage="1" xr:uid="{EA1608F4-14F7-4123-955C-F9C1FBF54EA9}">
          <x14:formula1>
            <xm:f>'Cable and cord selector'!$A$6:$A$10</xm:f>
          </x14:formula1>
          <xm:sqref>C18</xm:sqref>
        </x14:dataValidation>
        <x14:dataValidation type="list" allowBlank="1" showInputMessage="1" showErrorMessage="1" xr:uid="{384501BE-7D10-4975-B9B4-473642BF35F9}">
          <x14:formula1>
            <xm:f>'Cable and cord selector'!$B$6:$B$10</xm:f>
          </x14:formula1>
          <xm:sqref>C19</xm:sqref>
        </x14:dataValidation>
        <x14:dataValidation type="list" allowBlank="1" showInputMessage="1" showErrorMessage="1" xr:uid="{6FE2F04A-5384-42AA-AFA3-9132C60206E5}">
          <x14:formula1>
            <xm:f>'Cable and cord selector'!$C$6:$C$9</xm:f>
          </x14:formula1>
          <xm:sqref>C20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AA461-20FF-4137-A43D-AEBFEBE4EE23}">
  <dimension ref="A2:F2"/>
  <sheetViews>
    <sheetView workbookViewId="0">
      <selection activeCell="A2" sqref="A2:F2"/>
    </sheetView>
  </sheetViews>
  <sheetFormatPr defaultColWidth="11.42578125" defaultRowHeight="15"/>
  <cols>
    <col min="1" max="16384" width="11.42578125" style="109"/>
  </cols>
  <sheetData>
    <row r="2" spans="1:6" s="111" customFormat="1" ht="320.10000000000002" customHeight="1">
      <c r="A2" s="234" t="s">
        <v>290</v>
      </c>
      <c r="B2" s="234"/>
      <c r="C2" s="234"/>
      <c r="D2" s="234"/>
      <c r="E2" s="234"/>
      <c r="F2" s="234"/>
    </row>
  </sheetData>
  <sheetProtection algorithmName="SHA-512" hashValue="vfD3BzYyWDHy/mpp3ojfQpgmRm8XHMeiXexXCTJfHKO26CNGFAWrBgUAHixyXuB2NU811ijiHbsVttaA1z/fAA==" saltValue="hW87xG4e+jeC8yc5SfqkWA==" spinCount="100000" sheet="1" objects="1" scenarios="1"/>
  <mergeCells count="1">
    <mergeCell ref="A2:F2"/>
  </mergeCells>
  <pageMargins left="0.7" right="0.7" top="0.75" bottom="0.75"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C78ED-8977-40F2-B17C-3F747887ED41}">
  <dimension ref="A14:K86"/>
  <sheetViews>
    <sheetView workbookViewId="0">
      <selection activeCell="C1" sqref="C1"/>
    </sheetView>
  </sheetViews>
  <sheetFormatPr defaultColWidth="11.42578125" defaultRowHeight="15"/>
  <cols>
    <col min="5" max="6" width="15.7109375" customWidth="1"/>
  </cols>
  <sheetData>
    <row r="14" spans="3:7">
      <c r="D14" t="s">
        <v>411</v>
      </c>
      <c r="E14" t="s">
        <v>410</v>
      </c>
      <c r="F14" t="s">
        <v>413</v>
      </c>
      <c r="G14" t="s">
        <v>413</v>
      </c>
    </row>
    <row r="15" spans="3:7">
      <c r="C15" t="s">
        <v>273</v>
      </c>
      <c r="D15" t="s">
        <v>408</v>
      </c>
      <c r="E15" t="s">
        <v>412</v>
      </c>
      <c r="F15" s="164" t="s">
        <v>412</v>
      </c>
      <c r="G15" t="s">
        <v>438</v>
      </c>
    </row>
    <row r="16" spans="3:7">
      <c r="C16" t="s">
        <v>274</v>
      </c>
      <c r="D16" t="s">
        <v>409</v>
      </c>
      <c r="E16" s="163" t="s">
        <v>409</v>
      </c>
    </row>
    <row r="17" spans="1:10">
      <c r="C17" t="s">
        <v>184</v>
      </c>
      <c r="D17">
        <f>5.5*'Bundle in pathway'!C8</f>
        <v>33.275000000000006</v>
      </c>
      <c r="E17">
        <f>10.5*'Bundle in pathway'!C8</f>
        <v>63.525000000000006</v>
      </c>
      <c r="F17">
        <f>10.5*'Bundle in pathway'!C8</f>
        <v>63.525000000000006</v>
      </c>
      <c r="G17">
        <f>15.5*'Bundle in pathway'!C8</f>
        <v>93.775000000000006</v>
      </c>
    </row>
    <row r="21" spans="1:10" s="164" customFormat="1">
      <c r="D21" t="s">
        <v>439</v>
      </c>
      <c r="E21" t="s">
        <v>440</v>
      </c>
      <c r="F21" s="164" t="s">
        <v>441</v>
      </c>
      <c r="G21" s="164" t="s">
        <v>442</v>
      </c>
      <c r="H21" s="164" t="s">
        <v>443</v>
      </c>
    </row>
    <row r="22" spans="1:10" s="164" customFormat="1">
      <c r="D22">
        <f>20.5*'Bundle in pathway'!C8</f>
        <v>124.02500000000002</v>
      </c>
      <c r="E22">
        <f>25.5*'Bundle in pathway'!C8</f>
        <v>154.27500000000001</v>
      </c>
      <c r="F22" s="164">
        <f>30.5*'Bundle in pathway'!C8</f>
        <v>184.52500000000003</v>
      </c>
      <c r="G22" s="164">
        <f>35.5*'Bundle in pathway'!C8</f>
        <v>214.77500000000003</v>
      </c>
      <c r="H22" s="164">
        <f>40.5*'Bundle in pathway'!C8</f>
        <v>245.02500000000003</v>
      </c>
    </row>
    <row r="23" spans="1:10" s="164" customFormat="1"/>
    <row r="24" spans="1:10" s="164" customFormat="1"/>
    <row r="26" spans="1:10">
      <c r="A26" t="s">
        <v>417</v>
      </c>
    </row>
    <row r="27" spans="1:10">
      <c r="A27" t="s">
        <v>184</v>
      </c>
      <c r="C27">
        <v>60</v>
      </c>
      <c r="D27">
        <v>80</v>
      </c>
      <c r="E27">
        <v>100</v>
      </c>
      <c r="F27">
        <v>120</v>
      </c>
      <c r="G27">
        <v>140</v>
      </c>
      <c r="H27">
        <v>160</v>
      </c>
      <c r="I27">
        <v>180</v>
      </c>
      <c r="J27">
        <v>200</v>
      </c>
    </row>
    <row r="28" spans="1:10">
      <c r="A28" t="s">
        <v>415</v>
      </c>
      <c r="C28">
        <v>6</v>
      </c>
      <c r="D28">
        <v>6</v>
      </c>
      <c r="E28">
        <v>6</v>
      </c>
      <c r="F28">
        <v>6</v>
      </c>
      <c r="G28">
        <v>6</v>
      </c>
      <c r="H28">
        <v>6</v>
      </c>
      <c r="I28">
        <v>6</v>
      </c>
      <c r="J28" s="163">
        <v>6</v>
      </c>
    </row>
    <row r="29" spans="1:10" s="163" customFormat="1">
      <c r="A29" t="s">
        <v>271</v>
      </c>
      <c r="B29"/>
      <c r="C29">
        <v>54</v>
      </c>
      <c r="D29">
        <v>75</v>
      </c>
      <c r="E29">
        <v>96</v>
      </c>
      <c r="F29">
        <v>114</v>
      </c>
      <c r="G29">
        <v>135</v>
      </c>
      <c r="H29">
        <v>153</v>
      </c>
      <c r="I29">
        <v>174</v>
      </c>
      <c r="J29">
        <v>195</v>
      </c>
    </row>
    <row r="30" spans="1:10">
      <c r="A30" t="s">
        <v>416</v>
      </c>
      <c r="C30">
        <v>8.3000000000000007</v>
      </c>
      <c r="D30">
        <v>9.9</v>
      </c>
      <c r="E30">
        <v>11.3</v>
      </c>
      <c r="F30">
        <v>12.2</v>
      </c>
      <c r="G30">
        <v>13.2</v>
      </c>
      <c r="H30">
        <v>13.9</v>
      </c>
      <c r="I30">
        <v>14.7</v>
      </c>
      <c r="J30">
        <v>15.4</v>
      </c>
    </row>
    <row r="32" spans="1:10">
      <c r="A32" t="s">
        <v>415</v>
      </c>
      <c r="C32">
        <v>4</v>
      </c>
      <c r="D32" s="163">
        <v>4</v>
      </c>
      <c r="E32" s="163">
        <v>4</v>
      </c>
      <c r="F32" s="163">
        <v>4</v>
      </c>
      <c r="G32" s="163">
        <v>4</v>
      </c>
      <c r="H32" s="163">
        <v>4</v>
      </c>
      <c r="I32" s="163">
        <v>4</v>
      </c>
      <c r="J32" s="163">
        <v>4</v>
      </c>
    </row>
    <row r="33" spans="1:10">
      <c r="A33" s="163" t="s">
        <v>271</v>
      </c>
      <c r="C33">
        <v>36</v>
      </c>
      <c r="D33">
        <v>50</v>
      </c>
      <c r="E33">
        <v>64</v>
      </c>
      <c r="F33">
        <v>76</v>
      </c>
      <c r="G33">
        <v>90</v>
      </c>
      <c r="H33">
        <v>102</v>
      </c>
      <c r="I33">
        <v>116</v>
      </c>
      <c r="J33">
        <v>130</v>
      </c>
    </row>
    <row r="34" spans="1:10">
      <c r="A34" s="163" t="s">
        <v>416</v>
      </c>
      <c r="C34">
        <v>5.9</v>
      </c>
      <c r="D34">
        <v>6.8</v>
      </c>
      <c r="E34">
        <v>7.5</v>
      </c>
      <c r="F34">
        <v>7.9</v>
      </c>
      <c r="G34">
        <v>8.5</v>
      </c>
      <c r="H34">
        <v>8.9</v>
      </c>
      <c r="I34">
        <v>9.3000000000000007</v>
      </c>
      <c r="J34">
        <v>9.6</v>
      </c>
    </row>
    <row r="37" spans="1:10">
      <c r="A37" s="163" t="s">
        <v>418</v>
      </c>
    </row>
    <row r="38" spans="1:10">
      <c r="A38" s="164" t="s">
        <v>184</v>
      </c>
      <c r="C38" s="164">
        <v>60</v>
      </c>
      <c r="D38" s="164">
        <v>80</v>
      </c>
      <c r="E38" s="164">
        <v>100</v>
      </c>
      <c r="F38" s="164">
        <v>120</v>
      </c>
      <c r="G38" s="164">
        <v>140</v>
      </c>
      <c r="H38" s="164">
        <v>160</v>
      </c>
      <c r="I38" s="164">
        <v>180</v>
      </c>
      <c r="J38" s="164">
        <v>200</v>
      </c>
    </row>
    <row r="39" spans="1:10">
      <c r="A39" s="164" t="s">
        <v>415</v>
      </c>
      <c r="C39">
        <v>8</v>
      </c>
      <c r="D39" s="164">
        <v>8</v>
      </c>
      <c r="E39" s="164">
        <v>8</v>
      </c>
      <c r="F39" s="164">
        <v>8</v>
      </c>
      <c r="G39" s="164">
        <v>8</v>
      </c>
      <c r="H39" s="164">
        <v>8</v>
      </c>
      <c r="I39" s="164">
        <v>8</v>
      </c>
      <c r="J39" s="164">
        <v>8</v>
      </c>
    </row>
    <row r="40" spans="1:10">
      <c r="A40" s="164" t="s">
        <v>271</v>
      </c>
      <c r="C40">
        <v>52</v>
      </c>
      <c r="D40">
        <v>68</v>
      </c>
      <c r="E40">
        <v>88</v>
      </c>
      <c r="F40">
        <v>104</v>
      </c>
      <c r="G40">
        <v>128</v>
      </c>
      <c r="H40">
        <v>144</v>
      </c>
      <c r="I40">
        <v>164</v>
      </c>
      <c r="J40">
        <v>184</v>
      </c>
    </row>
    <row r="41" spans="1:10">
      <c r="A41" s="164" t="s">
        <v>416</v>
      </c>
      <c r="D41">
        <v>6.1</v>
      </c>
      <c r="E41">
        <v>7.2</v>
      </c>
      <c r="F41">
        <v>8.1</v>
      </c>
      <c r="G41">
        <v>8.9</v>
      </c>
      <c r="H41">
        <v>9.4</v>
      </c>
      <c r="I41">
        <v>10</v>
      </c>
      <c r="J41">
        <v>10.6</v>
      </c>
    </row>
    <row r="42" spans="1:10">
      <c r="A42" s="164"/>
    </row>
    <row r="43" spans="1:10">
      <c r="A43" s="164" t="s">
        <v>415</v>
      </c>
      <c r="C43">
        <v>6</v>
      </c>
      <c r="D43" s="164">
        <v>6</v>
      </c>
      <c r="E43" s="164">
        <v>6</v>
      </c>
      <c r="F43" s="164">
        <v>6</v>
      </c>
      <c r="G43" s="164">
        <v>6</v>
      </c>
      <c r="H43" s="164">
        <v>6</v>
      </c>
      <c r="I43" s="164">
        <v>6</v>
      </c>
      <c r="J43" s="164">
        <v>6</v>
      </c>
    </row>
    <row r="44" spans="1:10">
      <c r="A44" s="164" t="s">
        <v>271</v>
      </c>
      <c r="C44">
        <v>39</v>
      </c>
      <c r="D44">
        <v>51</v>
      </c>
      <c r="E44">
        <v>66</v>
      </c>
      <c r="F44">
        <v>81</v>
      </c>
      <c r="G44">
        <v>96</v>
      </c>
      <c r="H44">
        <v>108</v>
      </c>
      <c r="I44">
        <v>123</v>
      </c>
      <c r="J44">
        <v>138</v>
      </c>
    </row>
    <row r="45" spans="1:10">
      <c r="A45" s="164" t="s">
        <v>416</v>
      </c>
      <c r="C45">
        <v>4.2</v>
      </c>
      <c r="D45">
        <v>4.9000000000000004</v>
      </c>
      <c r="E45">
        <v>5.7</v>
      </c>
      <c r="F45">
        <v>6.2</v>
      </c>
      <c r="G45">
        <v>6.8</v>
      </c>
      <c r="H45">
        <v>7.1</v>
      </c>
      <c r="I45">
        <v>7.5</v>
      </c>
      <c r="J45">
        <v>7.9</v>
      </c>
    </row>
    <row r="48" spans="1:10">
      <c r="A48" s="164" t="s">
        <v>419</v>
      </c>
    </row>
    <row r="49" spans="1:11">
      <c r="A49" s="164" t="s">
        <v>184</v>
      </c>
      <c r="C49" s="164">
        <v>60</v>
      </c>
      <c r="D49" s="164">
        <v>80</v>
      </c>
      <c r="E49" s="164">
        <v>100</v>
      </c>
      <c r="F49" s="164">
        <v>120</v>
      </c>
      <c r="G49" s="164">
        <v>140</v>
      </c>
      <c r="H49" s="164">
        <v>160</v>
      </c>
      <c r="I49" s="164">
        <v>180</v>
      </c>
      <c r="J49" s="164">
        <v>200</v>
      </c>
    </row>
    <row r="50" spans="1:11">
      <c r="A50" s="164" t="s">
        <v>415</v>
      </c>
      <c r="C50" s="164">
        <v>8</v>
      </c>
      <c r="D50" s="164">
        <v>8</v>
      </c>
      <c r="E50" s="164">
        <v>8</v>
      </c>
      <c r="F50" s="164">
        <v>8</v>
      </c>
      <c r="G50" s="164">
        <v>8</v>
      </c>
      <c r="H50" s="164">
        <v>8</v>
      </c>
      <c r="I50" s="164">
        <v>8</v>
      </c>
      <c r="J50">
        <v>8</v>
      </c>
    </row>
    <row r="51" spans="1:11">
      <c r="A51" s="164" t="s">
        <v>271</v>
      </c>
      <c r="H51">
        <v>156</v>
      </c>
      <c r="I51">
        <v>180</v>
      </c>
      <c r="J51">
        <v>200</v>
      </c>
    </row>
    <row r="52" spans="1:11">
      <c r="A52" s="164" t="s">
        <v>416</v>
      </c>
      <c r="H52">
        <v>11.5</v>
      </c>
      <c r="I52">
        <v>12.3</v>
      </c>
      <c r="J52">
        <v>12.9</v>
      </c>
    </row>
    <row r="53" spans="1:11">
      <c r="A53" s="164"/>
    </row>
    <row r="54" spans="1:11">
      <c r="A54" s="164" t="s">
        <v>415</v>
      </c>
      <c r="C54" s="164">
        <v>6</v>
      </c>
      <c r="D54" s="164">
        <v>6</v>
      </c>
      <c r="E54" s="164">
        <v>6</v>
      </c>
      <c r="F54" s="164">
        <v>6</v>
      </c>
      <c r="G54" s="164">
        <v>6</v>
      </c>
      <c r="H54" s="164">
        <v>6</v>
      </c>
      <c r="I54" s="164">
        <v>6</v>
      </c>
      <c r="J54">
        <v>6</v>
      </c>
    </row>
    <row r="55" spans="1:11">
      <c r="A55" s="164" t="s">
        <v>271</v>
      </c>
      <c r="H55">
        <v>117</v>
      </c>
      <c r="I55">
        <v>135</v>
      </c>
      <c r="J55">
        <v>150</v>
      </c>
    </row>
    <row r="56" spans="1:11">
      <c r="A56" s="164" t="s">
        <v>416</v>
      </c>
      <c r="H56">
        <v>8.6</v>
      </c>
      <c r="I56">
        <v>9.1</v>
      </c>
      <c r="J56">
        <v>9.5</v>
      </c>
    </row>
    <row r="61" spans="1:11">
      <c r="A61" s="164" t="s">
        <v>420</v>
      </c>
      <c r="G61" s="164" t="s">
        <v>422</v>
      </c>
      <c r="H61" s="164"/>
      <c r="I61" s="164"/>
      <c r="J61" s="164"/>
      <c r="K61" s="164"/>
    </row>
    <row r="62" spans="1:11">
      <c r="A62" s="164" t="s">
        <v>184</v>
      </c>
      <c r="C62">
        <v>100</v>
      </c>
      <c r="D62">
        <v>150</v>
      </c>
      <c r="E62">
        <v>200</v>
      </c>
      <c r="G62" s="164" t="s">
        <v>184</v>
      </c>
      <c r="H62" s="164"/>
      <c r="I62" s="164">
        <v>100</v>
      </c>
      <c r="J62" s="164">
        <v>150</v>
      </c>
      <c r="K62" s="164">
        <v>200</v>
      </c>
    </row>
    <row r="63" spans="1:11" hidden="1">
      <c r="A63" s="164" t="s">
        <v>415</v>
      </c>
      <c r="C63">
        <v>5.31</v>
      </c>
      <c r="D63">
        <v>4.58</v>
      </c>
      <c r="E63">
        <v>4.1500000000000004</v>
      </c>
      <c r="G63" s="164" t="s">
        <v>415</v>
      </c>
      <c r="H63" s="164"/>
      <c r="I63" s="164">
        <v>3.75</v>
      </c>
      <c r="J63" s="164">
        <v>3.33</v>
      </c>
      <c r="K63" s="164">
        <v>2.8</v>
      </c>
    </row>
    <row r="64" spans="1:11">
      <c r="A64" s="164" t="s">
        <v>271</v>
      </c>
      <c r="C64">
        <v>85</v>
      </c>
      <c r="D64">
        <v>110</v>
      </c>
      <c r="E64">
        <v>135</v>
      </c>
      <c r="G64" s="164" t="s">
        <v>271</v>
      </c>
      <c r="H64" s="164"/>
      <c r="I64" s="164">
        <v>60</v>
      </c>
      <c r="J64" s="164">
        <v>80</v>
      </c>
      <c r="K64" s="164">
        <v>91</v>
      </c>
    </row>
    <row r="65" spans="1:11" hidden="1">
      <c r="A65" s="164" t="s">
        <v>416</v>
      </c>
      <c r="C65">
        <v>10</v>
      </c>
      <c r="D65" s="164">
        <v>10</v>
      </c>
      <c r="E65" s="164">
        <v>10</v>
      </c>
      <c r="G65" s="164" t="s">
        <v>416</v>
      </c>
      <c r="H65" s="164"/>
      <c r="I65" s="164">
        <v>10</v>
      </c>
      <c r="J65" s="164">
        <v>10</v>
      </c>
      <c r="K65" s="164">
        <v>10</v>
      </c>
    </row>
    <row r="66" spans="1:11">
      <c r="G66" s="164"/>
      <c r="H66" s="164"/>
      <c r="I66" s="164"/>
      <c r="J66" s="164"/>
      <c r="K66" s="164"/>
    </row>
    <row r="67" spans="1:11">
      <c r="G67" s="164"/>
      <c r="H67" s="164"/>
      <c r="I67" s="164"/>
      <c r="J67" s="164"/>
      <c r="K67" s="164"/>
    </row>
    <row r="68" spans="1:11">
      <c r="A68" s="164" t="s">
        <v>421</v>
      </c>
      <c r="B68" s="164"/>
      <c r="C68" s="164"/>
      <c r="D68" s="164"/>
      <c r="E68" s="164"/>
      <c r="G68" s="164" t="s">
        <v>423</v>
      </c>
      <c r="H68" s="164"/>
      <c r="I68" s="164"/>
      <c r="J68" s="164"/>
      <c r="K68" s="164"/>
    </row>
    <row r="69" spans="1:11">
      <c r="A69" s="164" t="s">
        <v>184</v>
      </c>
      <c r="B69" s="164"/>
      <c r="C69" s="164">
        <v>100</v>
      </c>
      <c r="D69" s="164">
        <v>150</v>
      </c>
      <c r="E69" s="164">
        <v>200</v>
      </c>
      <c r="G69" s="164" t="s">
        <v>184</v>
      </c>
      <c r="H69" s="164"/>
      <c r="I69" s="164">
        <v>100</v>
      </c>
      <c r="J69" s="164">
        <v>150</v>
      </c>
      <c r="K69" s="164">
        <v>200</v>
      </c>
    </row>
    <row r="70" spans="1:11" hidden="1">
      <c r="A70" s="164" t="s">
        <v>415</v>
      </c>
      <c r="B70" s="164"/>
      <c r="C70" s="164">
        <v>9.33</v>
      </c>
      <c r="D70" s="164">
        <v>7.14</v>
      </c>
      <c r="E70" s="164">
        <v>6.28</v>
      </c>
      <c r="G70" s="164" t="s">
        <v>415</v>
      </c>
      <c r="H70" s="164"/>
      <c r="I70" s="164">
        <v>5.92</v>
      </c>
      <c r="J70" s="164">
        <v>4.92</v>
      </c>
      <c r="K70" s="164">
        <v>4.4800000000000004</v>
      </c>
    </row>
    <row r="71" spans="1:11">
      <c r="A71" s="164" t="s">
        <v>271</v>
      </c>
      <c r="B71" s="164"/>
      <c r="C71" s="164">
        <v>112</v>
      </c>
      <c r="D71" s="164">
        <v>132</v>
      </c>
      <c r="E71" s="164">
        <v>157</v>
      </c>
      <c r="G71" s="164" t="s">
        <v>271</v>
      </c>
      <c r="H71" s="164"/>
      <c r="I71" s="164">
        <v>71</v>
      </c>
      <c r="J71" s="164">
        <v>91</v>
      </c>
      <c r="K71" s="164">
        <v>112</v>
      </c>
    </row>
    <row r="72" spans="1:11" hidden="1">
      <c r="A72" s="164" t="s">
        <v>416</v>
      </c>
      <c r="B72" s="164"/>
      <c r="C72" s="164">
        <v>10</v>
      </c>
      <c r="D72" s="164">
        <v>10</v>
      </c>
      <c r="E72" s="164">
        <v>10</v>
      </c>
      <c r="G72" s="164" t="s">
        <v>416</v>
      </c>
      <c r="H72" s="164"/>
      <c r="I72" s="164">
        <v>10</v>
      </c>
      <c r="J72" s="164">
        <v>10</v>
      </c>
      <c r="K72" s="164">
        <v>10</v>
      </c>
    </row>
    <row r="75" spans="1:11">
      <c r="A75" s="164" t="s">
        <v>426</v>
      </c>
      <c r="B75" s="164"/>
      <c r="C75" s="164"/>
      <c r="D75" s="164"/>
      <c r="E75" s="164"/>
      <c r="G75" s="164" t="s">
        <v>424</v>
      </c>
      <c r="H75" s="164"/>
      <c r="I75" s="164"/>
      <c r="J75" s="164"/>
      <c r="K75" s="164"/>
    </row>
    <row r="76" spans="1:11">
      <c r="A76" s="164" t="s">
        <v>184</v>
      </c>
      <c r="B76" s="164"/>
      <c r="C76" s="164">
        <v>100</v>
      </c>
      <c r="D76" s="164">
        <v>150</v>
      </c>
      <c r="E76" s="164">
        <v>200</v>
      </c>
      <c r="G76" s="164" t="s">
        <v>184</v>
      </c>
      <c r="H76" s="164"/>
      <c r="I76" s="164">
        <v>100</v>
      </c>
      <c r="J76" s="164">
        <v>150</v>
      </c>
      <c r="K76" s="164">
        <v>200</v>
      </c>
    </row>
    <row r="77" spans="1:11" hidden="1">
      <c r="A77" s="164" t="s">
        <v>415</v>
      </c>
      <c r="B77" s="164"/>
      <c r="C77" s="164">
        <v>11.18</v>
      </c>
      <c r="D77" s="164">
        <v>8.18</v>
      </c>
      <c r="E77" s="164">
        <v>7.04</v>
      </c>
      <c r="G77" s="164" t="s">
        <v>415</v>
      </c>
      <c r="H77" s="164"/>
      <c r="I77" s="164">
        <v>7.09</v>
      </c>
      <c r="J77" s="164">
        <v>5.65</v>
      </c>
      <c r="K77" s="164">
        <v>5.09</v>
      </c>
    </row>
    <row r="78" spans="1:11">
      <c r="A78" s="164" t="s">
        <v>271</v>
      </c>
      <c r="B78" s="164"/>
      <c r="C78" s="164">
        <v>123</v>
      </c>
      <c r="D78" s="164">
        <v>139</v>
      </c>
      <c r="E78" s="164">
        <v>162</v>
      </c>
      <c r="G78" s="164" t="s">
        <v>271</v>
      </c>
      <c r="H78" s="164"/>
      <c r="I78" s="164">
        <v>78</v>
      </c>
      <c r="J78" s="164">
        <v>96</v>
      </c>
      <c r="K78" s="164">
        <v>117</v>
      </c>
    </row>
    <row r="79" spans="1:11" hidden="1">
      <c r="A79" s="164" t="s">
        <v>416</v>
      </c>
      <c r="B79" s="164"/>
      <c r="C79" s="164">
        <v>10</v>
      </c>
      <c r="D79" s="164">
        <v>10</v>
      </c>
      <c r="E79" s="164">
        <v>10</v>
      </c>
      <c r="G79" s="164" t="s">
        <v>416</v>
      </c>
      <c r="H79" s="164"/>
      <c r="I79" s="164">
        <v>10</v>
      </c>
      <c r="J79" s="164">
        <v>10</v>
      </c>
      <c r="K79" s="164">
        <v>10</v>
      </c>
    </row>
    <row r="80" spans="1:11">
      <c r="A80" s="164"/>
      <c r="B80" s="164"/>
      <c r="C80" s="164"/>
      <c r="D80" s="164"/>
      <c r="E80" s="164"/>
      <c r="G80" s="164"/>
      <c r="H80" s="164"/>
      <c r="I80" s="164"/>
      <c r="J80" s="164"/>
      <c r="K80" s="164"/>
    </row>
    <row r="81" spans="1:11">
      <c r="A81" s="164"/>
      <c r="B81" s="164"/>
      <c r="C81" s="164"/>
      <c r="D81" s="164"/>
      <c r="E81" s="164"/>
      <c r="G81" s="164"/>
      <c r="H81" s="164"/>
      <c r="I81" s="164"/>
      <c r="J81" s="164"/>
      <c r="K81" s="164"/>
    </row>
    <row r="82" spans="1:11">
      <c r="A82" s="164" t="s">
        <v>427</v>
      </c>
      <c r="B82" s="164"/>
      <c r="C82" s="164"/>
      <c r="D82" s="164"/>
      <c r="E82" s="164"/>
      <c r="G82" s="164" t="s">
        <v>425</v>
      </c>
      <c r="H82" s="164"/>
      <c r="I82" s="164"/>
      <c r="J82" s="164"/>
      <c r="K82" s="164"/>
    </row>
    <row r="83" spans="1:11">
      <c r="A83" s="164" t="s">
        <v>184</v>
      </c>
      <c r="B83" s="164"/>
      <c r="C83" s="164">
        <v>100</v>
      </c>
      <c r="D83" s="164">
        <v>150</v>
      </c>
      <c r="E83" s="164">
        <v>200</v>
      </c>
      <c r="G83" s="164" t="s">
        <v>184</v>
      </c>
      <c r="H83" s="164"/>
      <c r="I83" s="164">
        <v>100</v>
      </c>
      <c r="J83" s="164">
        <v>150</v>
      </c>
      <c r="K83" s="164">
        <v>200</v>
      </c>
    </row>
    <row r="84" spans="1:11" hidden="1">
      <c r="A84" s="164" t="s">
        <v>415</v>
      </c>
      <c r="B84" s="164"/>
      <c r="C84" s="164">
        <v>12.27</v>
      </c>
      <c r="D84" s="164">
        <v>8.82</v>
      </c>
      <c r="E84" s="164">
        <v>7.57</v>
      </c>
      <c r="G84" s="164" t="s">
        <v>415</v>
      </c>
      <c r="H84" s="164"/>
      <c r="I84" s="164">
        <v>7.64</v>
      </c>
      <c r="J84" s="164">
        <v>6.06</v>
      </c>
      <c r="K84" s="164">
        <v>5.43</v>
      </c>
    </row>
    <row r="85" spans="1:11">
      <c r="A85" s="164" t="s">
        <v>271</v>
      </c>
      <c r="B85" s="164"/>
      <c r="C85" s="164">
        <v>135</v>
      </c>
      <c r="D85" s="164">
        <v>150</v>
      </c>
      <c r="E85" s="164">
        <v>174</v>
      </c>
      <c r="G85" s="164" t="s">
        <v>271</v>
      </c>
      <c r="H85" s="164"/>
      <c r="I85" s="164">
        <v>84</v>
      </c>
      <c r="J85" s="164">
        <v>103</v>
      </c>
      <c r="K85" s="164">
        <v>125</v>
      </c>
    </row>
    <row r="86" spans="1:11" hidden="1">
      <c r="A86" s="164" t="s">
        <v>416</v>
      </c>
      <c r="B86" s="164"/>
      <c r="C86" s="164">
        <v>10</v>
      </c>
      <c r="D86" s="164">
        <v>10</v>
      </c>
      <c r="E86" s="164">
        <v>10</v>
      </c>
      <c r="G86" s="164" t="s">
        <v>416</v>
      </c>
      <c r="H86" s="164"/>
      <c r="I86" s="164">
        <v>10</v>
      </c>
      <c r="J86" s="164">
        <v>10</v>
      </c>
      <c r="K86" s="164">
        <v>10</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A2E7D-6B91-402A-9B16-FC7ECCBEF059}">
  <dimension ref="A1:W91"/>
  <sheetViews>
    <sheetView workbookViewId="0">
      <selection activeCell="V59" sqref="V59"/>
    </sheetView>
  </sheetViews>
  <sheetFormatPr defaultColWidth="11.42578125" defaultRowHeight="15"/>
  <cols>
    <col min="1" max="1" width="20.5703125" bestFit="1" customWidth="1"/>
    <col min="2" max="4" width="12.7109375" customWidth="1"/>
    <col min="5" max="6" width="12.7109375" style="164" customWidth="1"/>
    <col min="7" max="7" width="12.7109375" customWidth="1"/>
    <col min="9" max="9" width="20.5703125" bestFit="1" customWidth="1"/>
    <col min="10" max="15" width="12.7109375" customWidth="1"/>
    <col min="17" max="17" width="22.42578125" bestFit="1" customWidth="1"/>
  </cols>
  <sheetData>
    <row r="1" spans="1:23">
      <c r="A1" t="s">
        <v>237</v>
      </c>
      <c r="B1" t="s">
        <v>428</v>
      </c>
      <c r="I1" s="164" t="s">
        <v>237</v>
      </c>
      <c r="J1" s="164" t="s">
        <v>428</v>
      </c>
      <c r="K1" s="164"/>
      <c r="L1" s="164"/>
      <c r="M1" s="164"/>
      <c r="N1" s="164"/>
      <c r="O1" s="164"/>
      <c r="Q1" s="164" t="s">
        <v>237</v>
      </c>
      <c r="R1" s="164" t="s">
        <v>428</v>
      </c>
    </row>
    <row r="2" spans="1:23">
      <c r="A2" t="s">
        <v>429</v>
      </c>
      <c r="B2" t="s">
        <v>430</v>
      </c>
      <c r="I2" s="164" t="s">
        <v>429</v>
      </c>
      <c r="J2" s="164" t="s">
        <v>430</v>
      </c>
      <c r="K2" s="164"/>
      <c r="L2" s="164"/>
      <c r="M2" s="164"/>
      <c r="N2" s="164"/>
      <c r="O2" s="164"/>
      <c r="Q2" s="164" t="s">
        <v>429</v>
      </c>
      <c r="R2" s="164" t="s">
        <v>430</v>
      </c>
    </row>
    <row r="3" spans="1:23" s="164" customFormat="1">
      <c r="A3" s="164" t="s">
        <v>433</v>
      </c>
      <c r="B3" s="164" t="s">
        <v>434</v>
      </c>
      <c r="I3" s="164" t="s">
        <v>433</v>
      </c>
      <c r="J3" s="164" t="s">
        <v>463</v>
      </c>
      <c r="Q3" s="164" t="s">
        <v>433</v>
      </c>
      <c r="R3" s="164" t="s">
        <v>464</v>
      </c>
    </row>
    <row r="4" spans="1:23">
      <c r="I4" s="164"/>
      <c r="J4" s="164"/>
      <c r="K4" s="164"/>
      <c r="L4" s="164"/>
      <c r="M4" s="164"/>
      <c r="N4" s="164"/>
      <c r="O4" s="164"/>
    </row>
    <row r="5" spans="1:23">
      <c r="I5" s="164"/>
      <c r="J5" s="164"/>
      <c r="K5" s="164"/>
      <c r="L5" s="164"/>
      <c r="M5" s="164"/>
      <c r="N5" s="164"/>
      <c r="O5" s="164"/>
    </row>
    <row r="6" spans="1:23">
      <c r="A6" t="s">
        <v>431</v>
      </c>
      <c r="B6" t="s">
        <v>432</v>
      </c>
      <c r="C6" t="s">
        <v>435</v>
      </c>
      <c r="D6" s="164" t="s">
        <v>436</v>
      </c>
      <c r="E6" s="164" t="s">
        <v>437</v>
      </c>
      <c r="I6" s="164" t="s">
        <v>431</v>
      </c>
      <c r="J6" s="164" t="s">
        <v>432</v>
      </c>
      <c r="K6" s="164" t="s">
        <v>435</v>
      </c>
      <c r="L6" s="164" t="s">
        <v>436</v>
      </c>
      <c r="M6" s="164" t="s">
        <v>437</v>
      </c>
      <c r="N6" s="164"/>
      <c r="O6" s="164"/>
      <c r="Q6" s="164" t="s">
        <v>431</v>
      </c>
      <c r="R6" s="164" t="s">
        <v>432</v>
      </c>
      <c r="S6" s="164" t="s">
        <v>435</v>
      </c>
      <c r="T6" s="164" t="s">
        <v>436</v>
      </c>
      <c r="U6" s="164" t="s">
        <v>437</v>
      </c>
    </row>
    <row r="7" spans="1:23">
      <c r="A7" t="s">
        <v>139</v>
      </c>
      <c r="B7">
        <v>24</v>
      </c>
      <c r="C7" s="169">
        <v>3.5</v>
      </c>
      <c r="D7" s="169">
        <v>3</v>
      </c>
      <c r="E7" s="164">
        <v>46.6</v>
      </c>
      <c r="G7" t="s">
        <v>444</v>
      </c>
      <c r="I7" s="164" t="s">
        <v>139</v>
      </c>
      <c r="J7" s="164">
        <v>24</v>
      </c>
      <c r="K7" s="169">
        <v>5.3</v>
      </c>
      <c r="L7" s="169">
        <v>4.7</v>
      </c>
      <c r="M7" s="164">
        <v>46.6</v>
      </c>
      <c r="N7" s="164"/>
      <c r="O7" s="164" t="s">
        <v>444</v>
      </c>
      <c r="Q7" s="164" t="s">
        <v>139</v>
      </c>
      <c r="R7">
        <v>23</v>
      </c>
      <c r="S7" s="169">
        <v>9.9</v>
      </c>
    </row>
    <row r="8" spans="1:23">
      <c r="B8">
        <v>48</v>
      </c>
      <c r="C8" s="169">
        <v>5.4</v>
      </c>
      <c r="D8" s="169">
        <v>4.4000000000000004</v>
      </c>
      <c r="E8" s="164">
        <v>89</v>
      </c>
      <c r="G8" t="s">
        <v>445</v>
      </c>
      <c r="I8" s="164"/>
      <c r="J8" s="164">
        <v>48</v>
      </c>
      <c r="K8" s="169">
        <v>8.1</v>
      </c>
      <c r="L8" s="169">
        <v>6.5</v>
      </c>
      <c r="M8" s="164">
        <v>89</v>
      </c>
      <c r="N8" s="164"/>
      <c r="O8" s="164" t="s">
        <v>445</v>
      </c>
      <c r="Q8" s="164" t="s">
        <v>465</v>
      </c>
      <c r="R8" s="164">
        <v>24</v>
      </c>
      <c r="S8" s="170">
        <v>10.1</v>
      </c>
      <c r="T8" s="169">
        <v>8.8000000000000007</v>
      </c>
      <c r="U8" s="164">
        <v>46.6</v>
      </c>
      <c r="V8" s="164"/>
      <c r="W8" s="164" t="s">
        <v>444</v>
      </c>
    </row>
    <row r="9" spans="1:23">
      <c r="A9" t="s">
        <v>467</v>
      </c>
      <c r="B9">
        <v>72</v>
      </c>
      <c r="C9" s="169">
        <v>7.1</v>
      </c>
      <c r="D9" s="169">
        <v>6.1</v>
      </c>
      <c r="E9" s="164">
        <v>89</v>
      </c>
      <c r="G9" t="s">
        <v>446</v>
      </c>
      <c r="I9" s="164" t="s">
        <v>467</v>
      </c>
      <c r="J9" s="164">
        <v>72</v>
      </c>
      <c r="K9" s="170">
        <v>10.4</v>
      </c>
      <c r="L9" s="169">
        <v>8.9</v>
      </c>
      <c r="M9" s="164">
        <v>89</v>
      </c>
      <c r="N9" s="164"/>
      <c r="O9" s="164" t="s">
        <v>446</v>
      </c>
      <c r="Q9" s="164"/>
      <c r="R9" s="164">
        <v>48</v>
      </c>
      <c r="S9" s="170">
        <v>15</v>
      </c>
      <c r="T9" s="170">
        <v>12</v>
      </c>
      <c r="U9" s="164">
        <v>89</v>
      </c>
      <c r="V9" s="164"/>
      <c r="W9" s="164" t="s">
        <v>445</v>
      </c>
    </row>
    <row r="10" spans="1:23">
      <c r="A10" t="s">
        <v>469</v>
      </c>
      <c r="D10" s="169">
        <v>5.2</v>
      </c>
      <c r="E10" s="164">
        <v>131.30000000000001</v>
      </c>
      <c r="G10" t="s">
        <v>447</v>
      </c>
      <c r="I10" s="164" t="s">
        <v>471</v>
      </c>
      <c r="J10" s="164"/>
      <c r="K10" s="164"/>
      <c r="L10" s="169">
        <v>7.6</v>
      </c>
      <c r="M10" s="164">
        <v>131.30000000000001</v>
      </c>
      <c r="N10" s="164"/>
      <c r="O10" s="164" t="s">
        <v>447</v>
      </c>
      <c r="Q10" s="164" t="s">
        <v>488</v>
      </c>
      <c r="R10" s="164">
        <v>72</v>
      </c>
      <c r="S10" s="171">
        <v>19.100000000000001</v>
      </c>
      <c r="T10" s="171">
        <v>16.2</v>
      </c>
      <c r="U10" s="164">
        <v>89</v>
      </c>
      <c r="V10" s="164"/>
      <c r="W10" s="164" t="s">
        <v>446</v>
      </c>
    </row>
    <row r="11" spans="1:23">
      <c r="B11">
        <v>96</v>
      </c>
      <c r="C11" s="169">
        <v>8.6999999999999993</v>
      </c>
      <c r="D11" s="169">
        <v>6.8</v>
      </c>
      <c r="E11" s="164">
        <v>131.30000000000001</v>
      </c>
      <c r="G11" t="s">
        <v>448</v>
      </c>
      <c r="I11" s="164" t="s">
        <v>472</v>
      </c>
      <c r="J11" s="164">
        <v>96</v>
      </c>
      <c r="K11" s="170">
        <v>12.6</v>
      </c>
      <c r="L11" s="169">
        <v>9.8000000000000007</v>
      </c>
      <c r="M11" s="164">
        <v>131.30000000000001</v>
      </c>
      <c r="N11" s="164"/>
      <c r="O11" s="164" t="s">
        <v>448</v>
      </c>
      <c r="Q11" s="164" t="s">
        <v>485</v>
      </c>
      <c r="R11" s="164"/>
      <c r="T11" s="170">
        <v>13.7</v>
      </c>
      <c r="U11" s="164">
        <v>131.30000000000001</v>
      </c>
      <c r="V11" s="164"/>
      <c r="W11" s="164" t="s">
        <v>447</v>
      </c>
    </row>
    <row r="12" spans="1:23">
      <c r="D12" s="169">
        <v>5.9</v>
      </c>
      <c r="E12" s="164">
        <v>173.6</v>
      </c>
      <c r="G12" t="s">
        <v>449</v>
      </c>
      <c r="I12" s="164"/>
      <c r="J12" s="164"/>
      <c r="K12" s="164"/>
      <c r="L12" s="169">
        <v>8.5</v>
      </c>
      <c r="M12" s="164">
        <v>173.6</v>
      </c>
      <c r="N12" s="164"/>
      <c r="O12" s="164" t="s">
        <v>449</v>
      </c>
      <c r="Q12" s="164"/>
      <c r="R12" s="164">
        <v>96</v>
      </c>
      <c r="S12" s="171">
        <v>22.8</v>
      </c>
      <c r="T12" s="171">
        <v>17.7</v>
      </c>
      <c r="U12" s="164">
        <v>131.30000000000001</v>
      </c>
      <c r="V12" s="164"/>
      <c r="W12" s="164" t="s">
        <v>448</v>
      </c>
    </row>
    <row r="13" spans="1:23">
      <c r="A13" s="164" t="s">
        <v>468</v>
      </c>
      <c r="B13">
        <v>120</v>
      </c>
      <c r="C13" s="170">
        <v>10.199999999999999</v>
      </c>
      <c r="D13" s="169">
        <v>8.4</v>
      </c>
      <c r="E13" s="164">
        <v>131.30000000000001</v>
      </c>
      <c r="G13" t="s">
        <v>451</v>
      </c>
      <c r="I13" s="164" t="s">
        <v>468</v>
      </c>
      <c r="J13" s="164">
        <v>120</v>
      </c>
      <c r="K13" s="170">
        <v>14.6</v>
      </c>
      <c r="L13" s="170">
        <v>12</v>
      </c>
      <c r="M13" s="164">
        <v>131.30000000000001</v>
      </c>
      <c r="N13" s="164"/>
      <c r="O13" s="164" t="s">
        <v>451</v>
      </c>
      <c r="R13" s="164"/>
      <c r="T13" s="171">
        <v>15.1</v>
      </c>
      <c r="U13" s="164">
        <v>173.6</v>
      </c>
      <c r="V13" s="164"/>
      <c r="W13" s="164" t="s">
        <v>449</v>
      </c>
    </row>
    <row r="14" spans="1:23">
      <c r="A14" t="s">
        <v>470</v>
      </c>
      <c r="D14" s="169">
        <v>6.3</v>
      </c>
      <c r="E14" s="164">
        <v>216</v>
      </c>
      <c r="G14" t="s">
        <v>450</v>
      </c>
      <c r="I14" s="164" t="s">
        <v>479</v>
      </c>
      <c r="J14" s="164"/>
      <c r="K14" s="164"/>
      <c r="L14" s="169">
        <v>8.9</v>
      </c>
      <c r="M14" s="164">
        <v>216</v>
      </c>
      <c r="N14" s="164"/>
      <c r="O14" s="164" t="s">
        <v>450</v>
      </c>
    </row>
    <row r="15" spans="1:23">
      <c r="A15" s="164" t="s">
        <v>472</v>
      </c>
      <c r="B15">
        <v>144</v>
      </c>
      <c r="C15" s="170">
        <v>11.7</v>
      </c>
      <c r="D15" s="169">
        <v>8.9</v>
      </c>
      <c r="E15" s="164">
        <v>173.6</v>
      </c>
      <c r="G15" t="s">
        <v>452</v>
      </c>
      <c r="I15" s="164" t="s">
        <v>475</v>
      </c>
      <c r="J15" s="164">
        <v>144</v>
      </c>
      <c r="K15" s="171">
        <v>16.5</v>
      </c>
      <c r="L15" s="170">
        <v>12.5</v>
      </c>
      <c r="M15" s="164">
        <v>173.6</v>
      </c>
      <c r="N15" s="164"/>
      <c r="O15" s="164" t="s">
        <v>452</v>
      </c>
      <c r="Q15" s="164" t="s">
        <v>431</v>
      </c>
      <c r="R15" s="164" t="s">
        <v>432</v>
      </c>
      <c r="S15" s="164" t="s">
        <v>435</v>
      </c>
    </row>
    <row r="16" spans="1:23">
      <c r="A16" s="164"/>
      <c r="D16" s="169">
        <v>7.6</v>
      </c>
      <c r="E16" s="164">
        <v>216</v>
      </c>
      <c r="G16" t="s">
        <v>453</v>
      </c>
      <c r="I16" s="164"/>
      <c r="J16" s="164"/>
      <c r="K16" s="164"/>
      <c r="L16" s="170">
        <v>10.7</v>
      </c>
      <c r="M16" s="164">
        <v>216</v>
      </c>
      <c r="N16" s="164"/>
      <c r="O16" s="164" t="s">
        <v>453</v>
      </c>
      <c r="Q16" s="164" t="s">
        <v>139</v>
      </c>
      <c r="R16">
        <v>11</v>
      </c>
      <c r="S16" s="169">
        <v>9.8000000000000007</v>
      </c>
      <c r="T16" s="164"/>
      <c r="U16" s="164"/>
      <c r="V16" s="164"/>
      <c r="W16" s="164"/>
    </row>
    <row r="17" spans="1:23">
      <c r="A17" s="164"/>
      <c r="D17" s="169">
        <v>6.7</v>
      </c>
      <c r="E17" s="164">
        <v>258.39999999999998</v>
      </c>
      <c r="G17" t="s">
        <v>454</v>
      </c>
      <c r="I17" s="164"/>
      <c r="J17" s="164"/>
      <c r="K17" s="164"/>
      <c r="L17" s="169">
        <v>9.5</v>
      </c>
      <c r="M17" s="164">
        <v>258.39999999999998</v>
      </c>
      <c r="N17" s="164"/>
      <c r="O17" s="164" t="s">
        <v>454</v>
      </c>
      <c r="Q17" s="164" t="s">
        <v>466</v>
      </c>
      <c r="R17">
        <v>13</v>
      </c>
      <c r="S17" s="170">
        <v>10.7</v>
      </c>
      <c r="T17" s="164"/>
      <c r="U17" s="164"/>
      <c r="V17" s="164"/>
      <c r="W17" s="164"/>
    </row>
    <row r="18" spans="1:23">
      <c r="A18" s="164"/>
      <c r="B18">
        <v>168</v>
      </c>
      <c r="C18" s="170">
        <v>13.1</v>
      </c>
      <c r="D18" s="170">
        <v>10.3</v>
      </c>
      <c r="E18" s="164">
        <v>173.6</v>
      </c>
      <c r="G18" t="s">
        <v>455</v>
      </c>
      <c r="I18" s="164"/>
      <c r="J18" s="164">
        <v>168</v>
      </c>
      <c r="K18" s="171">
        <v>18.399999999999999</v>
      </c>
      <c r="L18" s="170">
        <v>14.4</v>
      </c>
      <c r="M18" s="164">
        <v>173.6</v>
      </c>
      <c r="N18" s="164"/>
      <c r="O18" s="164" t="s">
        <v>455</v>
      </c>
      <c r="R18" s="164">
        <v>24</v>
      </c>
      <c r="S18" s="170">
        <v>15</v>
      </c>
    </row>
    <row r="19" spans="1:23">
      <c r="A19" s="164"/>
      <c r="D19" s="169">
        <v>9</v>
      </c>
      <c r="E19" s="164">
        <v>216</v>
      </c>
      <c r="G19" t="s">
        <v>456</v>
      </c>
      <c r="I19" s="164"/>
      <c r="J19" s="164"/>
      <c r="K19" s="164"/>
      <c r="L19" s="170">
        <v>12.5</v>
      </c>
      <c r="M19" s="164">
        <v>216</v>
      </c>
      <c r="N19" s="164"/>
      <c r="O19" s="164" t="s">
        <v>456</v>
      </c>
      <c r="Q19" s="164" t="s">
        <v>495</v>
      </c>
      <c r="R19" s="164">
        <v>48</v>
      </c>
      <c r="S19" s="171">
        <v>22.3</v>
      </c>
    </row>
    <row r="20" spans="1:23">
      <c r="A20" s="164"/>
      <c r="D20" s="169">
        <v>7.9</v>
      </c>
      <c r="E20" s="164">
        <v>258.39999999999998</v>
      </c>
      <c r="G20" t="s">
        <v>457</v>
      </c>
      <c r="I20" s="164"/>
      <c r="J20" s="164"/>
      <c r="K20" s="164"/>
      <c r="L20" s="170">
        <v>11.1</v>
      </c>
      <c r="M20" s="164">
        <v>258.39999999999998</v>
      </c>
      <c r="N20" s="164"/>
      <c r="O20" s="164" t="s">
        <v>457</v>
      </c>
      <c r="Q20" s="164" t="s">
        <v>496</v>
      </c>
    </row>
    <row r="21" spans="1:23">
      <c r="A21" s="164"/>
      <c r="D21" s="169">
        <v>7.1</v>
      </c>
      <c r="E21" s="164">
        <v>300.7</v>
      </c>
      <c r="G21" t="s">
        <v>458</v>
      </c>
      <c r="I21" s="164"/>
      <c r="J21" s="164"/>
      <c r="K21" s="164"/>
      <c r="L21" s="169">
        <v>9.9</v>
      </c>
      <c r="M21" s="164">
        <v>300.7</v>
      </c>
      <c r="N21" s="164"/>
      <c r="O21" s="164" t="s">
        <v>458</v>
      </c>
    </row>
    <row r="22" spans="1:23">
      <c r="A22" s="164"/>
      <c r="B22">
        <v>192</v>
      </c>
      <c r="C22" s="170">
        <v>14.4</v>
      </c>
      <c r="D22" s="170">
        <v>10.3</v>
      </c>
      <c r="E22" s="164">
        <v>216</v>
      </c>
      <c r="G22" s="164" t="s">
        <v>459</v>
      </c>
      <c r="I22" s="164"/>
      <c r="J22" s="164">
        <v>192</v>
      </c>
      <c r="K22" s="171">
        <v>20.100000000000001</v>
      </c>
      <c r="L22" s="170">
        <v>14.3</v>
      </c>
      <c r="M22" s="164">
        <v>216</v>
      </c>
      <c r="N22" s="164"/>
      <c r="O22" s="164" t="s">
        <v>459</v>
      </c>
    </row>
    <row r="23" spans="1:23">
      <c r="A23" s="164"/>
      <c r="D23" s="169">
        <v>9.1999999999999993</v>
      </c>
      <c r="E23" s="164">
        <v>258.39999999999998</v>
      </c>
      <c r="G23" s="164" t="s">
        <v>460</v>
      </c>
      <c r="I23" s="164"/>
      <c r="J23" s="164"/>
      <c r="K23" s="164"/>
      <c r="L23" s="170">
        <v>12.7</v>
      </c>
      <c r="M23" s="164">
        <v>258.39999999999998</v>
      </c>
      <c r="N23" s="164"/>
      <c r="O23" s="164" t="s">
        <v>460</v>
      </c>
    </row>
    <row r="24" spans="1:23">
      <c r="A24" s="164"/>
      <c r="D24" s="169">
        <v>8.3000000000000007</v>
      </c>
      <c r="E24" s="164">
        <v>300.7</v>
      </c>
      <c r="G24" s="164" t="s">
        <v>461</v>
      </c>
      <c r="I24" s="164"/>
      <c r="J24" s="164"/>
      <c r="K24" s="164"/>
      <c r="L24" s="170">
        <v>11.4</v>
      </c>
      <c r="M24" s="164">
        <v>300.7</v>
      </c>
      <c r="N24" s="164"/>
      <c r="O24" s="164" t="s">
        <v>461</v>
      </c>
    </row>
    <row r="25" spans="1:23">
      <c r="A25" s="164"/>
      <c r="D25" s="169">
        <v>7.4</v>
      </c>
      <c r="E25" s="164">
        <v>343.1</v>
      </c>
      <c r="G25" s="164" t="s">
        <v>462</v>
      </c>
      <c r="I25" s="164"/>
      <c r="J25" s="164"/>
      <c r="K25" s="164"/>
      <c r="L25" s="170">
        <v>10.199999999999999</v>
      </c>
      <c r="M25" s="164">
        <v>343.1</v>
      </c>
      <c r="N25" s="164"/>
      <c r="O25" s="164" t="s">
        <v>462</v>
      </c>
    </row>
    <row r="26" spans="1:23">
      <c r="I26" s="164"/>
      <c r="J26" s="164"/>
      <c r="K26" s="164"/>
      <c r="L26" s="164"/>
      <c r="M26" s="164"/>
      <c r="N26" s="164"/>
      <c r="O26" s="164"/>
    </row>
    <row r="27" spans="1:23" hidden="1">
      <c r="I27" s="164"/>
      <c r="J27" s="164"/>
      <c r="K27" s="164"/>
      <c r="L27" s="164"/>
      <c r="M27" s="164"/>
      <c r="N27" s="164"/>
      <c r="O27" s="164"/>
    </row>
    <row r="28" spans="1:23" hidden="1">
      <c r="A28" s="164" t="s">
        <v>431</v>
      </c>
      <c r="B28" s="164" t="s">
        <v>432</v>
      </c>
      <c r="C28" s="164" t="s">
        <v>435</v>
      </c>
      <c r="D28" s="164" t="s">
        <v>436</v>
      </c>
      <c r="E28" s="164" t="s">
        <v>437</v>
      </c>
      <c r="I28" s="164" t="s">
        <v>431</v>
      </c>
      <c r="J28" s="164" t="s">
        <v>432</v>
      </c>
      <c r="K28" s="164" t="s">
        <v>435</v>
      </c>
      <c r="L28" s="164" t="s">
        <v>436</v>
      </c>
      <c r="M28" s="164" t="s">
        <v>437</v>
      </c>
      <c r="N28" s="164"/>
      <c r="O28" s="164"/>
      <c r="Q28" s="164" t="s">
        <v>431</v>
      </c>
      <c r="R28" s="164" t="s">
        <v>432</v>
      </c>
      <c r="S28" s="164" t="s">
        <v>435</v>
      </c>
      <c r="T28" s="164" t="s">
        <v>436</v>
      </c>
      <c r="U28" s="164" t="s">
        <v>437</v>
      </c>
    </row>
    <row r="29" spans="1:23" hidden="1">
      <c r="A29" t="s">
        <v>135</v>
      </c>
      <c r="B29" s="164">
        <v>24</v>
      </c>
      <c r="C29" s="169">
        <v>3.8</v>
      </c>
      <c r="D29" s="169">
        <v>3.3</v>
      </c>
      <c r="E29" s="164">
        <v>45.4</v>
      </c>
      <c r="G29" s="164" t="s">
        <v>444</v>
      </c>
      <c r="I29" s="164" t="s">
        <v>135</v>
      </c>
      <c r="J29" s="164">
        <v>24</v>
      </c>
      <c r="K29" s="169">
        <v>5.8</v>
      </c>
      <c r="L29" s="169">
        <v>5</v>
      </c>
      <c r="M29" s="164">
        <v>45.4</v>
      </c>
      <c r="N29" s="164"/>
      <c r="O29" s="164" t="s">
        <v>444</v>
      </c>
      <c r="Q29" s="164" t="s">
        <v>135</v>
      </c>
      <c r="R29">
        <v>20</v>
      </c>
      <c r="S29" s="169">
        <v>9.8000000000000007</v>
      </c>
    </row>
    <row r="30" spans="1:23" hidden="1">
      <c r="B30" s="164">
        <v>48</v>
      </c>
      <c r="C30" s="169">
        <v>5.9</v>
      </c>
      <c r="D30" s="169">
        <v>4.7</v>
      </c>
      <c r="E30" s="164">
        <v>86.7</v>
      </c>
      <c r="G30" s="164" t="s">
        <v>445</v>
      </c>
      <c r="I30" s="164"/>
      <c r="J30" s="164">
        <v>48</v>
      </c>
      <c r="K30" s="169">
        <v>8.6999999999999993</v>
      </c>
      <c r="L30" s="169">
        <v>7</v>
      </c>
      <c r="M30" s="164">
        <v>86.7</v>
      </c>
      <c r="N30" s="164"/>
      <c r="O30" s="164" t="s">
        <v>445</v>
      </c>
      <c r="Q30" s="164" t="s">
        <v>465</v>
      </c>
      <c r="R30" s="164">
        <v>24</v>
      </c>
      <c r="S30" s="170">
        <v>10.9</v>
      </c>
      <c r="T30" s="169">
        <v>9.5</v>
      </c>
      <c r="U30" s="164">
        <v>45.4</v>
      </c>
      <c r="V30" s="164"/>
      <c r="W30" s="164" t="s">
        <v>444</v>
      </c>
    </row>
    <row r="31" spans="1:23" hidden="1">
      <c r="A31" s="164" t="s">
        <v>467</v>
      </c>
      <c r="B31" s="164">
        <v>72</v>
      </c>
      <c r="C31" s="169">
        <v>7.8</v>
      </c>
      <c r="D31" s="169">
        <v>6.6</v>
      </c>
      <c r="E31" s="164">
        <v>86.7</v>
      </c>
      <c r="G31" s="164" t="s">
        <v>446</v>
      </c>
      <c r="I31" s="164" t="s">
        <v>467</v>
      </c>
      <c r="J31" s="164">
        <v>72</v>
      </c>
      <c r="K31" s="170">
        <v>11.3</v>
      </c>
      <c r="L31" s="169">
        <v>9.6999999999999993</v>
      </c>
      <c r="M31" s="164">
        <v>86.7</v>
      </c>
      <c r="N31" s="164"/>
      <c r="O31" s="164" t="s">
        <v>446</v>
      </c>
      <c r="Q31" s="164"/>
      <c r="R31" s="164">
        <v>48</v>
      </c>
      <c r="S31" s="171">
        <v>16.2</v>
      </c>
      <c r="T31" s="170">
        <v>12.9</v>
      </c>
      <c r="U31" s="164">
        <v>86.7</v>
      </c>
      <c r="V31" s="164"/>
      <c r="W31" s="164" t="s">
        <v>445</v>
      </c>
    </row>
    <row r="32" spans="1:23" hidden="1">
      <c r="A32" s="164" t="s">
        <v>469</v>
      </c>
      <c r="B32" s="164"/>
      <c r="D32" s="169">
        <v>5.7</v>
      </c>
      <c r="E32" s="164">
        <v>127.9</v>
      </c>
      <c r="G32" s="164" t="s">
        <v>447</v>
      </c>
      <c r="I32" s="164" t="s">
        <v>478</v>
      </c>
      <c r="J32" s="164"/>
      <c r="K32" s="164"/>
      <c r="L32" s="169">
        <v>8.1999999999999993</v>
      </c>
      <c r="M32" s="164">
        <v>127.9</v>
      </c>
      <c r="N32" s="164"/>
      <c r="O32" s="164" t="s">
        <v>447</v>
      </c>
      <c r="Q32" s="164" t="s">
        <v>494</v>
      </c>
      <c r="R32" s="164">
        <v>72</v>
      </c>
      <c r="S32" s="171">
        <v>20.7</v>
      </c>
      <c r="T32" s="171">
        <v>17.5</v>
      </c>
      <c r="U32" s="164">
        <v>86.7</v>
      </c>
      <c r="V32" s="164"/>
      <c r="W32" s="164" t="s">
        <v>446</v>
      </c>
    </row>
    <row r="33" spans="1:23" hidden="1">
      <c r="A33" s="164"/>
      <c r="B33" s="164">
        <v>96</v>
      </c>
      <c r="C33" s="169">
        <v>9.5</v>
      </c>
      <c r="D33" s="169">
        <v>7.5</v>
      </c>
      <c r="E33" s="164">
        <v>127.9</v>
      </c>
      <c r="G33" s="164" t="s">
        <v>448</v>
      </c>
      <c r="I33" s="164" t="s">
        <v>477</v>
      </c>
      <c r="J33" s="164">
        <v>96</v>
      </c>
      <c r="K33" s="170">
        <v>13.7</v>
      </c>
      <c r="L33" s="170">
        <v>10.7</v>
      </c>
      <c r="M33" s="164">
        <v>127.9</v>
      </c>
      <c r="N33" s="164"/>
      <c r="O33" s="164" t="s">
        <v>448</v>
      </c>
      <c r="Q33" s="164" t="s">
        <v>485</v>
      </c>
      <c r="R33" s="164"/>
      <c r="T33" s="170">
        <v>14.9</v>
      </c>
      <c r="U33" s="164">
        <v>127.9</v>
      </c>
      <c r="V33" s="164"/>
      <c r="W33" s="164" t="s">
        <v>447</v>
      </c>
    </row>
    <row r="34" spans="1:23" hidden="1">
      <c r="A34" s="164"/>
      <c r="B34" s="164"/>
      <c r="D34" s="169">
        <v>6.3</v>
      </c>
      <c r="E34" s="164">
        <v>169.2</v>
      </c>
      <c r="G34" s="164" t="s">
        <v>449</v>
      </c>
      <c r="I34" s="164"/>
      <c r="J34" s="164"/>
      <c r="K34" s="164"/>
      <c r="L34" s="169">
        <v>9</v>
      </c>
      <c r="M34" s="164">
        <v>169.2</v>
      </c>
      <c r="N34" s="164"/>
      <c r="O34" s="164" t="s">
        <v>449</v>
      </c>
      <c r="Q34" s="164"/>
      <c r="R34" s="164"/>
    </row>
    <row r="35" spans="1:23" hidden="1">
      <c r="A35" s="164" t="s">
        <v>468</v>
      </c>
      <c r="B35" s="164">
        <v>120</v>
      </c>
      <c r="C35" s="170">
        <v>11.2</v>
      </c>
      <c r="D35" s="169">
        <v>9.1999999999999993</v>
      </c>
      <c r="E35" s="164">
        <v>127.9</v>
      </c>
      <c r="G35" s="164" t="s">
        <v>451</v>
      </c>
      <c r="I35" s="164" t="s">
        <v>468</v>
      </c>
      <c r="J35" s="164">
        <v>120</v>
      </c>
      <c r="K35" s="171">
        <v>15.9</v>
      </c>
      <c r="L35" s="170">
        <v>13</v>
      </c>
      <c r="M35" s="164">
        <v>127.9</v>
      </c>
      <c r="N35" s="164"/>
      <c r="O35" s="164" t="s">
        <v>451</v>
      </c>
      <c r="Q35" s="164"/>
      <c r="R35" s="164"/>
    </row>
    <row r="36" spans="1:23" hidden="1">
      <c r="A36" s="164" t="s">
        <v>470</v>
      </c>
      <c r="B36" s="164"/>
      <c r="D36" s="169">
        <v>6.9</v>
      </c>
      <c r="E36" s="164">
        <v>210.4</v>
      </c>
      <c r="G36" s="164" t="s">
        <v>450</v>
      </c>
      <c r="I36" s="164" t="s">
        <v>481</v>
      </c>
      <c r="J36" s="164"/>
      <c r="K36" s="164"/>
      <c r="L36" s="169">
        <v>9.6999999999999993</v>
      </c>
      <c r="M36" s="164">
        <v>210.4</v>
      </c>
      <c r="N36" s="164"/>
      <c r="O36" s="164" t="s">
        <v>450</v>
      </c>
      <c r="Q36" s="164"/>
      <c r="R36" s="164"/>
    </row>
    <row r="37" spans="1:23" hidden="1">
      <c r="A37" s="164" t="s">
        <v>473</v>
      </c>
      <c r="B37" s="164">
        <v>144</v>
      </c>
      <c r="C37" s="170">
        <v>12.8</v>
      </c>
      <c r="D37" s="169">
        <v>9.6</v>
      </c>
      <c r="E37" s="164">
        <v>169.2</v>
      </c>
      <c r="G37" s="164" t="s">
        <v>452</v>
      </c>
      <c r="I37" s="164" t="s">
        <v>475</v>
      </c>
      <c r="J37" s="164">
        <v>144</v>
      </c>
      <c r="K37" s="171">
        <v>18</v>
      </c>
      <c r="L37" s="170">
        <v>13.4</v>
      </c>
      <c r="M37" s="164">
        <v>169.2</v>
      </c>
      <c r="N37" s="164"/>
      <c r="O37" s="164" t="s">
        <v>452</v>
      </c>
      <c r="Q37" s="164" t="s">
        <v>431</v>
      </c>
      <c r="R37" s="164" t="s">
        <v>432</v>
      </c>
      <c r="S37" s="164" t="s">
        <v>435</v>
      </c>
    </row>
    <row r="38" spans="1:23" hidden="1">
      <c r="B38" s="164"/>
      <c r="D38" s="169">
        <v>8.3000000000000007</v>
      </c>
      <c r="E38" s="164">
        <v>210.4</v>
      </c>
      <c r="G38" s="164" t="s">
        <v>453</v>
      </c>
      <c r="I38" s="164"/>
      <c r="J38" s="164"/>
      <c r="K38" s="164"/>
      <c r="L38" s="170">
        <v>11.7</v>
      </c>
      <c r="M38" s="164">
        <v>210.4</v>
      </c>
      <c r="N38" s="164"/>
      <c r="O38" s="164" t="s">
        <v>453</v>
      </c>
      <c r="Q38" s="164" t="s">
        <v>135</v>
      </c>
      <c r="R38">
        <v>10</v>
      </c>
      <c r="S38" s="169">
        <v>10</v>
      </c>
    </row>
    <row r="39" spans="1:23" hidden="1">
      <c r="B39" s="164"/>
      <c r="D39" s="169">
        <v>7.4</v>
      </c>
      <c r="E39" s="164">
        <v>251.7</v>
      </c>
      <c r="G39" s="164" t="s">
        <v>454</v>
      </c>
      <c r="I39" s="164"/>
      <c r="J39" s="164"/>
      <c r="K39" s="164"/>
      <c r="L39" s="170">
        <v>10.3</v>
      </c>
      <c r="M39" s="164">
        <v>251.7</v>
      </c>
      <c r="N39" s="164"/>
      <c r="O39" s="164" t="s">
        <v>454</v>
      </c>
      <c r="Q39" s="164" t="s">
        <v>466</v>
      </c>
      <c r="R39" s="164">
        <v>12</v>
      </c>
      <c r="S39" s="170">
        <v>11</v>
      </c>
    </row>
    <row r="40" spans="1:23" hidden="1">
      <c r="B40" s="164">
        <v>168</v>
      </c>
      <c r="C40" s="170">
        <v>14.3</v>
      </c>
      <c r="D40" s="170">
        <v>11.2</v>
      </c>
      <c r="E40" s="164">
        <v>169.2</v>
      </c>
      <c r="G40" s="164" t="s">
        <v>455</v>
      </c>
      <c r="I40" s="164"/>
      <c r="J40" s="164">
        <v>168</v>
      </c>
      <c r="K40" s="171">
        <v>20</v>
      </c>
      <c r="L40" s="171">
        <v>15.5</v>
      </c>
      <c r="M40" s="164">
        <v>169.2</v>
      </c>
      <c r="N40" s="164"/>
      <c r="O40" s="164" t="s">
        <v>455</v>
      </c>
      <c r="Q40" s="164"/>
      <c r="R40" s="164">
        <v>24</v>
      </c>
      <c r="S40" s="171">
        <v>16.2</v>
      </c>
    </row>
    <row r="41" spans="1:23" hidden="1">
      <c r="B41" s="164"/>
      <c r="D41" s="169">
        <v>9.8000000000000007</v>
      </c>
      <c r="E41" s="164">
        <v>210.4</v>
      </c>
      <c r="G41" s="164" t="s">
        <v>456</v>
      </c>
      <c r="I41" s="164"/>
      <c r="J41" s="164"/>
      <c r="K41" s="164"/>
      <c r="L41" s="170">
        <v>13.7</v>
      </c>
      <c r="M41" s="164">
        <v>210.4</v>
      </c>
      <c r="N41" s="164"/>
      <c r="O41" s="164" t="s">
        <v>456</v>
      </c>
      <c r="Q41" s="164" t="s">
        <v>488</v>
      </c>
      <c r="R41" s="164">
        <v>48</v>
      </c>
      <c r="S41" s="171">
        <v>24.1</v>
      </c>
    </row>
    <row r="42" spans="1:23" hidden="1">
      <c r="B42" s="164"/>
      <c r="D42" s="169">
        <v>8.6999999999999993</v>
      </c>
      <c r="E42" s="164">
        <v>251.7</v>
      </c>
      <c r="G42" s="164" t="s">
        <v>457</v>
      </c>
      <c r="I42" s="164"/>
      <c r="J42" s="164"/>
      <c r="K42" s="164"/>
      <c r="L42" s="170">
        <v>12</v>
      </c>
      <c r="M42" s="164">
        <v>251.7</v>
      </c>
      <c r="N42" s="164"/>
      <c r="O42" s="164" t="s">
        <v>457</v>
      </c>
      <c r="Q42" s="164" t="s">
        <v>489</v>
      </c>
    </row>
    <row r="43" spans="1:23" hidden="1">
      <c r="B43" s="164"/>
      <c r="D43" s="169">
        <v>7.7</v>
      </c>
      <c r="E43" s="164">
        <v>292.89999999999998</v>
      </c>
      <c r="G43" s="164" t="s">
        <v>458</v>
      </c>
      <c r="I43" s="164"/>
      <c r="J43" s="164"/>
      <c r="K43" s="164"/>
      <c r="L43" s="170">
        <v>10.7</v>
      </c>
      <c r="M43" s="164">
        <v>292.89999999999998</v>
      </c>
      <c r="N43" s="164"/>
      <c r="O43" s="164" t="s">
        <v>458</v>
      </c>
    </row>
    <row r="44" spans="1:23" hidden="1">
      <c r="B44" s="164">
        <v>192</v>
      </c>
      <c r="C44" s="171">
        <v>15.8</v>
      </c>
      <c r="D44" s="170">
        <v>11.3</v>
      </c>
      <c r="E44" s="164">
        <v>210.4</v>
      </c>
      <c r="G44" s="164" t="s">
        <v>459</v>
      </c>
      <c r="I44" s="164"/>
      <c r="J44" s="164">
        <v>192</v>
      </c>
      <c r="K44" s="171">
        <v>22</v>
      </c>
      <c r="L44" s="171">
        <v>15.6</v>
      </c>
      <c r="M44" s="164">
        <v>210.4</v>
      </c>
      <c r="N44" s="164"/>
      <c r="O44" s="164" t="s">
        <v>459</v>
      </c>
    </row>
    <row r="45" spans="1:23" hidden="1">
      <c r="B45" s="164"/>
      <c r="D45" s="169">
        <v>10</v>
      </c>
      <c r="E45" s="164">
        <v>251.7</v>
      </c>
      <c r="G45" s="164" t="s">
        <v>460</v>
      </c>
      <c r="I45" s="164"/>
      <c r="J45" s="164"/>
      <c r="K45" s="164"/>
      <c r="L45" s="170">
        <v>13.8</v>
      </c>
      <c r="M45" s="164">
        <v>251.7</v>
      </c>
      <c r="N45" s="164"/>
      <c r="O45" s="164" t="s">
        <v>460</v>
      </c>
    </row>
    <row r="46" spans="1:23" hidden="1">
      <c r="B46" s="164"/>
      <c r="D46" s="169">
        <v>9</v>
      </c>
      <c r="E46" s="164">
        <v>292.89999999999998</v>
      </c>
      <c r="G46" s="164" t="s">
        <v>461</v>
      </c>
      <c r="I46" s="164"/>
      <c r="J46" s="164"/>
      <c r="K46" s="164"/>
      <c r="L46" s="170">
        <v>12.4</v>
      </c>
      <c r="M46" s="164">
        <v>292.89999999999998</v>
      </c>
      <c r="N46" s="164"/>
      <c r="O46" s="164" t="s">
        <v>461</v>
      </c>
    </row>
    <row r="47" spans="1:23" hidden="1">
      <c r="D47" s="169">
        <v>8.1</v>
      </c>
      <c r="E47" s="164">
        <v>334.2</v>
      </c>
      <c r="G47" s="164" t="s">
        <v>462</v>
      </c>
      <c r="I47" s="164"/>
      <c r="J47" s="164"/>
      <c r="K47" s="164"/>
      <c r="L47" s="170">
        <v>11.1</v>
      </c>
      <c r="M47" s="164">
        <v>334.2</v>
      </c>
      <c r="N47" s="164"/>
      <c r="O47" s="164" t="s">
        <v>462</v>
      </c>
    </row>
    <row r="48" spans="1:23" hidden="1">
      <c r="I48" s="164"/>
      <c r="J48" s="164"/>
      <c r="K48" s="164"/>
      <c r="L48" s="164"/>
      <c r="M48" s="164"/>
      <c r="N48" s="164"/>
      <c r="O48" s="164"/>
    </row>
    <row r="49" spans="1:23" hidden="1">
      <c r="I49" s="164"/>
      <c r="J49" s="164"/>
      <c r="K49" s="164"/>
      <c r="L49" s="164"/>
      <c r="M49" s="164"/>
      <c r="N49" s="164"/>
      <c r="O49" s="164"/>
    </row>
    <row r="50" spans="1:23" hidden="1">
      <c r="A50" s="164" t="s">
        <v>431</v>
      </c>
      <c r="B50" s="164" t="s">
        <v>432</v>
      </c>
      <c r="C50" s="164" t="s">
        <v>435</v>
      </c>
      <c r="D50" s="164" t="s">
        <v>436</v>
      </c>
      <c r="E50" s="164" t="s">
        <v>437</v>
      </c>
      <c r="G50" s="164"/>
      <c r="I50" s="164" t="s">
        <v>431</v>
      </c>
      <c r="J50" s="164" t="s">
        <v>432</v>
      </c>
      <c r="K50" s="164" t="s">
        <v>435</v>
      </c>
      <c r="L50" s="164" t="s">
        <v>436</v>
      </c>
      <c r="M50" s="164" t="s">
        <v>437</v>
      </c>
      <c r="N50" s="164"/>
      <c r="O50" s="164"/>
      <c r="Q50" s="164" t="s">
        <v>431</v>
      </c>
      <c r="R50" s="164" t="s">
        <v>432</v>
      </c>
      <c r="S50" s="164" t="s">
        <v>435</v>
      </c>
      <c r="T50" s="164" t="s">
        <v>436</v>
      </c>
      <c r="U50" s="164" t="s">
        <v>437</v>
      </c>
    </row>
    <row r="51" spans="1:23" hidden="1">
      <c r="A51" s="164" t="s">
        <v>132</v>
      </c>
      <c r="B51" s="164">
        <v>24</v>
      </c>
      <c r="C51" s="169">
        <v>4.0999999999999996</v>
      </c>
      <c r="D51" s="169">
        <v>3.6</v>
      </c>
      <c r="E51" s="164">
        <v>43</v>
      </c>
      <c r="G51" s="164" t="s">
        <v>444</v>
      </c>
      <c r="I51" s="164" t="s">
        <v>132</v>
      </c>
      <c r="J51" s="164">
        <v>24</v>
      </c>
      <c r="K51" s="169">
        <v>6.3</v>
      </c>
      <c r="L51" s="169">
        <v>5.5</v>
      </c>
      <c r="M51" s="164">
        <v>43</v>
      </c>
      <c r="N51" s="164"/>
      <c r="O51" s="164" t="s">
        <v>444</v>
      </c>
      <c r="Q51" s="164" t="s">
        <v>132</v>
      </c>
      <c r="R51">
        <v>17</v>
      </c>
      <c r="S51" s="169">
        <v>9.8000000000000007</v>
      </c>
    </row>
    <row r="52" spans="1:23" hidden="1">
      <c r="A52" s="164"/>
      <c r="B52" s="164">
        <v>48</v>
      </c>
      <c r="C52" s="169">
        <v>6.3</v>
      </c>
      <c r="D52" s="169">
        <v>5.0999999999999996</v>
      </c>
      <c r="E52" s="164">
        <v>82.1</v>
      </c>
      <c r="G52" s="164" t="s">
        <v>445</v>
      </c>
      <c r="I52" s="164"/>
      <c r="J52" s="164">
        <v>48</v>
      </c>
      <c r="K52" s="169">
        <v>9.5</v>
      </c>
      <c r="L52" s="169">
        <v>7.6</v>
      </c>
      <c r="M52" s="164">
        <v>82.1</v>
      </c>
      <c r="N52" s="164"/>
      <c r="O52" s="164" t="s">
        <v>445</v>
      </c>
      <c r="Q52" s="164" t="s">
        <v>465</v>
      </c>
      <c r="R52">
        <v>20</v>
      </c>
      <c r="S52" s="170">
        <v>10.8</v>
      </c>
    </row>
    <row r="53" spans="1:23" hidden="1">
      <c r="A53" s="164" t="s">
        <v>467</v>
      </c>
      <c r="B53" s="164">
        <v>72</v>
      </c>
      <c r="C53" s="169">
        <v>8.4</v>
      </c>
      <c r="D53" s="169">
        <v>7.1</v>
      </c>
      <c r="E53" s="164">
        <v>82.1</v>
      </c>
      <c r="G53" s="164" t="s">
        <v>446</v>
      </c>
      <c r="I53" s="164" t="s">
        <v>467</v>
      </c>
      <c r="J53" s="164">
        <v>72</v>
      </c>
      <c r="K53" s="170">
        <v>12.3</v>
      </c>
      <c r="L53" s="170">
        <v>10.5</v>
      </c>
      <c r="M53" s="164">
        <v>82.1</v>
      </c>
      <c r="N53" s="164"/>
      <c r="O53" s="164" t="s">
        <v>446</v>
      </c>
      <c r="Q53" s="164"/>
      <c r="R53" s="164">
        <v>24</v>
      </c>
      <c r="S53" s="170">
        <v>11.9</v>
      </c>
      <c r="T53" s="170">
        <v>10.4</v>
      </c>
      <c r="U53" s="164">
        <v>43</v>
      </c>
      <c r="V53" s="164"/>
      <c r="W53" s="164" t="s">
        <v>444</v>
      </c>
    </row>
    <row r="54" spans="1:23" hidden="1">
      <c r="A54" s="164" t="s">
        <v>469</v>
      </c>
      <c r="B54" s="164"/>
      <c r="D54" s="169">
        <v>6.1</v>
      </c>
      <c r="E54" s="164">
        <v>121.1</v>
      </c>
      <c r="G54" s="164" t="s">
        <v>447</v>
      </c>
      <c r="I54" s="164" t="s">
        <v>479</v>
      </c>
      <c r="J54" s="164"/>
      <c r="K54" s="164"/>
      <c r="L54" s="169">
        <v>8.9</v>
      </c>
      <c r="M54" s="164">
        <v>121.1</v>
      </c>
      <c r="N54" s="164"/>
      <c r="O54" s="164" t="s">
        <v>447</v>
      </c>
      <c r="Q54" s="164" t="s">
        <v>492</v>
      </c>
      <c r="R54" s="164">
        <v>48</v>
      </c>
      <c r="S54" s="171">
        <v>17.7</v>
      </c>
      <c r="T54" s="170">
        <v>14.1</v>
      </c>
      <c r="U54" s="164">
        <v>82.1</v>
      </c>
      <c r="V54" s="164"/>
      <c r="W54" s="164" t="s">
        <v>445</v>
      </c>
    </row>
    <row r="55" spans="1:23" hidden="1">
      <c r="A55" s="164"/>
      <c r="B55" s="164">
        <v>96</v>
      </c>
      <c r="C55" s="170">
        <v>10.199999999999999</v>
      </c>
      <c r="D55" s="169">
        <v>8</v>
      </c>
      <c r="E55" s="164">
        <v>121.1</v>
      </c>
      <c r="G55" s="164" t="s">
        <v>448</v>
      </c>
      <c r="I55" s="164" t="s">
        <v>480</v>
      </c>
      <c r="J55" s="164">
        <v>96</v>
      </c>
      <c r="K55" s="170">
        <v>14.8</v>
      </c>
      <c r="L55" s="170">
        <v>11.6</v>
      </c>
      <c r="M55" s="164">
        <v>121.1</v>
      </c>
      <c r="N55" s="164"/>
      <c r="O55" s="164" t="s">
        <v>448</v>
      </c>
      <c r="Q55" s="164" t="s">
        <v>493</v>
      </c>
      <c r="R55" s="164">
        <v>72</v>
      </c>
      <c r="S55" s="171">
        <v>22.6</v>
      </c>
      <c r="T55" s="171">
        <v>19.2</v>
      </c>
      <c r="U55" s="164">
        <v>82.1</v>
      </c>
      <c r="V55" s="164"/>
      <c r="W55" s="164" t="s">
        <v>446</v>
      </c>
    </row>
    <row r="56" spans="1:23" hidden="1">
      <c r="A56" s="164"/>
      <c r="B56" s="164"/>
      <c r="D56" s="169">
        <v>6.8</v>
      </c>
      <c r="E56" s="164">
        <v>160.19999999999999</v>
      </c>
      <c r="G56" s="164" t="s">
        <v>449</v>
      </c>
      <c r="I56" s="164"/>
      <c r="J56" s="164"/>
      <c r="K56" s="164"/>
      <c r="L56" s="169">
        <v>9.8000000000000007</v>
      </c>
      <c r="M56" s="164">
        <v>160.19999999999999</v>
      </c>
      <c r="N56" s="164"/>
      <c r="O56" s="164" t="s">
        <v>449</v>
      </c>
      <c r="Q56" s="164"/>
      <c r="R56" s="164"/>
      <c r="T56" s="171">
        <v>16.2</v>
      </c>
      <c r="U56" s="164">
        <v>121.1</v>
      </c>
      <c r="V56" s="164"/>
      <c r="W56" s="164" t="s">
        <v>447</v>
      </c>
    </row>
    <row r="57" spans="1:23" hidden="1">
      <c r="A57" s="164" t="s">
        <v>468</v>
      </c>
      <c r="B57" s="164">
        <v>120</v>
      </c>
      <c r="C57" s="170">
        <v>12</v>
      </c>
      <c r="D57" s="169">
        <v>9.8000000000000007</v>
      </c>
      <c r="E57" s="164">
        <v>121.1</v>
      </c>
      <c r="G57" s="164" t="s">
        <v>451</v>
      </c>
      <c r="I57" s="164" t="s">
        <v>468</v>
      </c>
      <c r="J57" s="164">
        <v>120</v>
      </c>
      <c r="K57" s="171">
        <v>17.2</v>
      </c>
      <c r="L57" s="170">
        <v>14.1</v>
      </c>
      <c r="M57" s="164">
        <v>121.1</v>
      </c>
      <c r="N57" s="164"/>
      <c r="O57" s="164" t="s">
        <v>451</v>
      </c>
      <c r="Q57" s="164"/>
      <c r="R57" s="164"/>
    </row>
    <row r="58" spans="1:23" hidden="1">
      <c r="A58" s="164" t="s">
        <v>478</v>
      </c>
      <c r="B58" s="164"/>
      <c r="D58" s="169">
        <v>7.4</v>
      </c>
      <c r="E58" s="164">
        <v>199.2</v>
      </c>
      <c r="G58" s="164" t="s">
        <v>450</v>
      </c>
      <c r="I58" s="164" t="s">
        <v>482</v>
      </c>
      <c r="J58" s="164"/>
      <c r="K58" s="164"/>
      <c r="L58" s="170">
        <v>10.5</v>
      </c>
      <c r="M58" s="164">
        <v>199.2</v>
      </c>
      <c r="N58" s="164"/>
      <c r="O58" s="164" t="s">
        <v>450</v>
      </c>
      <c r="Q58" s="164"/>
      <c r="R58" s="164"/>
    </row>
    <row r="59" spans="1:23" hidden="1">
      <c r="A59" s="164" t="s">
        <v>473</v>
      </c>
      <c r="B59" s="164">
        <v>144</v>
      </c>
      <c r="C59" s="170">
        <v>13.7</v>
      </c>
      <c r="D59" s="170">
        <v>10.3</v>
      </c>
      <c r="E59" s="164">
        <v>160.19999999999999</v>
      </c>
      <c r="G59" s="164" t="s">
        <v>452</v>
      </c>
      <c r="I59" s="164" t="s">
        <v>474</v>
      </c>
      <c r="J59" s="164">
        <v>144</v>
      </c>
      <c r="K59" s="171">
        <v>19.5</v>
      </c>
      <c r="L59" s="170">
        <v>14.5</v>
      </c>
      <c r="M59" s="164">
        <v>160.19999999999999</v>
      </c>
      <c r="N59" s="164"/>
      <c r="O59" s="164" t="s">
        <v>452</v>
      </c>
      <c r="Q59" s="164" t="s">
        <v>431</v>
      </c>
      <c r="R59" s="164" t="s">
        <v>432</v>
      </c>
      <c r="S59" s="164" t="s">
        <v>435</v>
      </c>
    </row>
    <row r="60" spans="1:23" hidden="1">
      <c r="A60" s="164"/>
      <c r="B60" s="164"/>
      <c r="D60" s="169">
        <v>8.9</v>
      </c>
      <c r="E60" s="164">
        <v>199.2</v>
      </c>
      <c r="G60" s="164" t="s">
        <v>453</v>
      </c>
      <c r="I60" s="164"/>
      <c r="J60" s="164"/>
      <c r="K60" s="164"/>
      <c r="L60" s="170">
        <v>12.6</v>
      </c>
      <c r="M60" s="164">
        <v>199.2</v>
      </c>
      <c r="N60" s="164"/>
      <c r="O60" s="164" t="s">
        <v>453</v>
      </c>
      <c r="Q60" s="164" t="s">
        <v>132</v>
      </c>
      <c r="R60">
        <v>8</v>
      </c>
      <c r="S60" s="169">
        <v>9.6999999999999993</v>
      </c>
    </row>
    <row r="61" spans="1:23" hidden="1">
      <c r="A61" s="164"/>
      <c r="B61" s="164"/>
      <c r="D61" s="169">
        <v>7.9</v>
      </c>
      <c r="E61" s="164">
        <v>238.3</v>
      </c>
      <c r="G61" s="164" t="s">
        <v>454</v>
      </c>
      <c r="I61" s="164"/>
      <c r="J61" s="164"/>
      <c r="K61" s="164"/>
      <c r="L61" s="170">
        <v>11.1</v>
      </c>
      <c r="M61" s="164">
        <v>238.3</v>
      </c>
      <c r="N61" s="164"/>
      <c r="O61" s="164" t="s">
        <v>454</v>
      </c>
      <c r="Q61" s="164" t="s">
        <v>466</v>
      </c>
      <c r="R61">
        <v>10</v>
      </c>
      <c r="S61" s="170">
        <v>11</v>
      </c>
    </row>
    <row r="62" spans="1:23" hidden="1">
      <c r="A62" s="164"/>
      <c r="B62" s="164">
        <v>168</v>
      </c>
      <c r="C62" s="171">
        <v>15.3</v>
      </c>
      <c r="D62" s="170">
        <v>11.9</v>
      </c>
      <c r="E62" s="164">
        <v>160.19999999999999</v>
      </c>
      <c r="G62" s="164" t="s">
        <v>455</v>
      </c>
      <c r="I62" s="164"/>
      <c r="J62" s="164">
        <v>168</v>
      </c>
      <c r="K62" s="171">
        <v>21.7</v>
      </c>
      <c r="L62" s="171">
        <v>16.8</v>
      </c>
      <c r="M62" s="164">
        <v>160.19999999999999</v>
      </c>
      <c r="N62" s="164"/>
      <c r="O62" s="164" t="s">
        <v>455</v>
      </c>
      <c r="Q62" s="164"/>
      <c r="R62" s="164">
        <v>12</v>
      </c>
      <c r="S62" s="170">
        <v>12.1</v>
      </c>
    </row>
    <row r="63" spans="1:23" hidden="1">
      <c r="A63" s="164"/>
      <c r="B63" s="164"/>
      <c r="D63" s="170">
        <v>10.5</v>
      </c>
      <c r="E63" s="164">
        <v>199.2</v>
      </c>
      <c r="G63" s="164" t="s">
        <v>456</v>
      </c>
      <c r="I63" s="164"/>
      <c r="J63" s="164"/>
      <c r="K63" s="164"/>
      <c r="L63" s="170">
        <v>14.7</v>
      </c>
      <c r="M63" s="164">
        <v>199.2</v>
      </c>
      <c r="N63" s="164"/>
      <c r="O63" s="164" t="s">
        <v>456</v>
      </c>
      <c r="Q63" s="164" t="s">
        <v>491</v>
      </c>
      <c r="R63" s="164">
        <v>24</v>
      </c>
      <c r="S63" s="171">
        <v>17.8</v>
      </c>
    </row>
    <row r="64" spans="1:23" hidden="1">
      <c r="A64" s="164"/>
      <c r="B64" s="164"/>
      <c r="D64" s="169">
        <v>9.3000000000000007</v>
      </c>
      <c r="E64" s="164">
        <v>238.3</v>
      </c>
      <c r="G64" s="164" t="s">
        <v>457</v>
      </c>
      <c r="I64" s="164"/>
      <c r="J64" s="164"/>
      <c r="K64" s="164"/>
      <c r="L64" s="170">
        <v>13</v>
      </c>
      <c r="M64" s="164">
        <v>238.3</v>
      </c>
      <c r="N64" s="164"/>
      <c r="O64" s="164" t="s">
        <v>457</v>
      </c>
      <c r="Q64" s="164" t="s">
        <v>490</v>
      </c>
      <c r="R64" s="164">
        <v>48</v>
      </c>
      <c r="S64" s="171">
        <v>26.4</v>
      </c>
    </row>
    <row r="65" spans="1:23" hidden="1">
      <c r="A65" s="164"/>
      <c r="B65" s="164"/>
      <c r="D65" s="169">
        <v>8.3000000000000007</v>
      </c>
      <c r="E65" s="164">
        <v>277.3</v>
      </c>
      <c r="G65" s="164" t="s">
        <v>458</v>
      </c>
      <c r="I65" s="164"/>
      <c r="J65" s="164"/>
      <c r="K65" s="164"/>
      <c r="L65" s="170">
        <v>11.6</v>
      </c>
      <c r="M65" s="164">
        <v>277.3</v>
      </c>
      <c r="N65" s="164"/>
      <c r="O65" s="164" t="s">
        <v>458</v>
      </c>
    </row>
    <row r="66" spans="1:23" hidden="1">
      <c r="A66" s="164"/>
      <c r="B66" s="164">
        <v>192</v>
      </c>
      <c r="C66" s="171">
        <v>17</v>
      </c>
      <c r="D66" s="170">
        <v>12.1</v>
      </c>
      <c r="E66" s="164">
        <v>199.2</v>
      </c>
      <c r="G66" s="164" t="s">
        <v>459</v>
      </c>
      <c r="I66" s="164"/>
      <c r="J66" s="164">
        <v>192</v>
      </c>
      <c r="K66" s="171">
        <v>23.8</v>
      </c>
      <c r="L66" s="171">
        <v>16.899999999999999</v>
      </c>
      <c r="M66" s="164">
        <v>199.2</v>
      </c>
      <c r="N66" s="164"/>
      <c r="O66" s="164" t="s">
        <v>459</v>
      </c>
    </row>
    <row r="67" spans="1:23" hidden="1">
      <c r="A67" s="164"/>
      <c r="B67" s="164"/>
      <c r="D67" s="170">
        <v>10.7</v>
      </c>
      <c r="E67" s="164">
        <v>238.3</v>
      </c>
      <c r="G67" s="164" t="s">
        <v>460</v>
      </c>
      <c r="I67" s="164"/>
      <c r="J67" s="164"/>
      <c r="K67" s="164"/>
      <c r="L67" s="170">
        <v>14.9</v>
      </c>
      <c r="M67" s="164">
        <v>238.3</v>
      </c>
      <c r="N67" s="164"/>
      <c r="O67" s="164" t="s">
        <v>460</v>
      </c>
    </row>
    <row r="68" spans="1:23" hidden="1">
      <c r="D68" s="169">
        <v>9.6999999999999993</v>
      </c>
      <c r="E68" s="164">
        <v>277.3</v>
      </c>
      <c r="G68" s="164" t="s">
        <v>461</v>
      </c>
      <c r="I68" s="164"/>
      <c r="J68" s="164"/>
      <c r="K68" s="164"/>
      <c r="L68" s="170">
        <v>13.4</v>
      </c>
      <c r="M68" s="164">
        <v>277.3</v>
      </c>
      <c r="N68" s="164"/>
      <c r="O68" s="164" t="s">
        <v>461</v>
      </c>
    </row>
    <row r="69" spans="1:23" hidden="1">
      <c r="D69" s="169">
        <v>8.6</v>
      </c>
      <c r="E69" s="164">
        <v>316.39999999999998</v>
      </c>
      <c r="G69" s="164" t="s">
        <v>462</v>
      </c>
      <c r="I69" s="164"/>
      <c r="J69" s="164"/>
      <c r="K69" s="164"/>
      <c r="L69" s="170">
        <v>12</v>
      </c>
      <c r="M69" s="164">
        <v>316.39999999999998</v>
      </c>
      <c r="N69" s="164"/>
      <c r="O69" s="164" t="s">
        <v>462</v>
      </c>
    </row>
    <row r="70" spans="1:23" hidden="1">
      <c r="I70" s="164"/>
      <c r="J70" s="164"/>
      <c r="K70" s="164"/>
      <c r="L70" s="164"/>
      <c r="M70" s="164"/>
      <c r="N70" s="164"/>
      <c r="O70" s="164"/>
    </row>
    <row r="71" spans="1:23">
      <c r="I71" s="164"/>
      <c r="J71" s="164"/>
      <c r="K71" s="164"/>
      <c r="L71" s="164"/>
      <c r="M71" s="164"/>
      <c r="N71" s="164"/>
      <c r="O71" s="164"/>
    </row>
    <row r="72" spans="1:23">
      <c r="A72" s="164" t="s">
        <v>431</v>
      </c>
      <c r="B72" s="164" t="s">
        <v>432</v>
      </c>
      <c r="C72" s="164" t="s">
        <v>435</v>
      </c>
      <c r="D72" s="164" t="s">
        <v>436</v>
      </c>
      <c r="E72" s="164" t="s">
        <v>437</v>
      </c>
      <c r="G72" s="164"/>
      <c r="I72" s="164" t="s">
        <v>431</v>
      </c>
      <c r="J72" s="164" t="s">
        <v>432</v>
      </c>
      <c r="K72" s="164" t="s">
        <v>435</v>
      </c>
      <c r="L72" s="164" t="s">
        <v>436</v>
      </c>
      <c r="M72" s="164" t="s">
        <v>437</v>
      </c>
      <c r="N72" s="164"/>
      <c r="O72" s="164"/>
      <c r="Q72" s="164" t="s">
        <v>431</v>
      </c>
      <c r="R72" s="164" t="s">
        <v>432</v>
      </c>
      <c r="S72" s="164" t="s">
        <v>435</v>
      </c>
      <c r="T72" s="164" t="s">
        <v>436</v>
      </c>
      <c r="U72" s="164" t="s">
        <v>437</v>
      </c>
      <c r="V72" s="164"/>
      <c r="W72" s="164"/>
    </row>
    <row r="73" spans="1:23">
      <c r="A73" s="164" t="s">
        <v>23</v>
      </c>
      <c r="B73" s="164">
        <v>24</v>
      </c>
      <c r="C73" s="169">
        <v>5.6</v>
      </c>
      <c r="D73" s="169">
        <v>4.9000000000000004</v>
      </c>
      <c r="E73" s="164">
        <v>33.299999999999997</v>
      </c>
      <c r="G73" s="164" t="s">
        <v>444</v>
      </c>
      <c r="I73" s="164" t="s">
        <v>23</v>
      </c>
      <c r="J73" s="164">
        <v>24</v>
      </c>
      <c r="K73" s="169">
        <v>8.4</v>
      </c>
      <c r="L73" s="169">
        <v>7.3</v>
      </c>
      <c r="M73" s="164">
        <v>33.299999999999997</v>
      </c>
      <c r="N73" s="164"/>
      <c r="O73" s="164" t="s">
        <v>444</v>
      </c>
      <c r="Q73" s="164" t="s">
        <v>23</v>
      </c>
      <c r="R73">
        <v>10</v>
      </c>
      <c r="S73" s="169">
        <v>9.5</v>
      </c>
    </row>
    <row r="74" spans="1:23">
      <c r="A74" s="164"/>
      <c r="B74" s="164">
        <v>48</v>
      </c>
      <c r="C74" s="169">
        <v>8.8000000000000007</v>
      </c>
      <c r="D74" s="169">
        <v>7.1</v>
      </c>
      <c r="E74" s="164">
        <v>63.6</v>
      </c>
      <c r="G74" s="164" t="s">
        <v>445</v>
      </c>
      <c r="I74" s="164"/>
      <c r="J74" s="164">
        <v>48</v>
      </c>
      <c r="K74" s="170">
        <v>12.9</v>
      </c>
      <c r="L74" s="170">
        <v>10.4</v>
      </c>
      <c r="M74" s="164">
        <v>63.6</v>
      </c>
      <c r="N74" s="164"/>
      <c r="O74" s="164" t="s">
        <v>445</v>
      </c>
      <c r="Q74" s="164" t="s">
        <v>465</v>
      </c>
      <c r="R74">
        <v>12</v>
      </c>
      <c r="S74" s="170">
        <v>10.6</v>
      </c>
    </row>
    <row r="75" spans="1:23">
      <c r="A75" s="164" t="s">
        <v>467</v>
      </c>
      <c r="B75" s="164">
        <v>72</v>
      </c>
      <c r="C75" s="170">
        <v>11.8</v>
      </c>
      <c r="D75" s="170">
        <v>10.1</v>
      </c>
      <c r="E75" s="164">
        <v>63.6</v>
      </c>
      <c r="G75" s="164" t="s">
        <v>446</v>
      </c>
      <c r="I75" s="164" t="s">
        <v>467</v>
      </c>
      <c r="J75" s="164">
        <v>72</v>
      </c>
      <c r="K75" s="171">
        <v>16.899999999999999</v>
      </c>
      <c r="L75" s="170">
        <v>14.4</v>
      </c>
      <c r="M75" s="164">
        <v>63.6</v>
      </c>
      <c r="N75" s="164"/>
      <c r="O75" s="164" t="s">
        <v>446</v>
      </c>
      <c r="Q75" s="164"/>
      <c r="R75" s="164">
        <v>24</v>
      </c>
      <c r="S75" s="171">
        <v>15.7</v>
      </c>
      <c r="T75" s="170">
        <v>13.7</v>
      </c>
      <c r="U75" s="164">
        <v>33.299999999999997</v>
      </c>
      <c r="V75" s="164"/>
      <c r="W75" s="164" t="s">
        <v>444</v>
      </c>
    </row>
    <row r="76" spans="1:23">
      <c r="A76" s="164" t="s">
        <v>479</v>
      </c>
      <c r="B76" s="164"/>
      <c r="C76" s="164"/>
      <c r="D76" s="169">
        <v>8.6</v>
      </c>
      <c r="E76" s="164">
        <v>93.8</v>
      </c>
      <c r="G76" s="164" t="s">
        <v>447</v>
      </c>
      <c r="I76" s="164" t="s">
        <v>484</v>
      </c>
      <c r="J76" s="164"/>
      <c r="K76" s="164"/>
      <c r="L76" s="170">
        <v>12.2</v>
      </c>
      <c r="M76" s="164">
        <v>93.8</v>
      </c>
      <c r="N76" s="164"/>
      <c r="O76" s="164" t="s">
        <v>447</v>
      </c>
      <c r="Q76" s="164" t="s">
        <v>488</v>
      </c>
      <c r="R76" s="164">
        <v>48</v>
      </c>
      <c r="S76" s="171">
        <v>23.7</v>
      </c>
      <c r="T76" s="171">
        <v>18.899999999999999</v>
      </c>
      <c r="U76" s="164">
        <v>63.6</v>
      </c>
      <c r="V76" s="164"/>
      <c r="W76" s="164" t="s">
        <v>445</v>
      </c>
    </row>
    <row r="77" spans="1:23">
      <c r="A77" s="164" t="s">
        <v>480</v>
      </c>
      <c r="B77" s="164">
        <v>96</v>
      </c>
      <c r="C77" s="170">
        <v>14.6</v>
      </c>
      <c r="D77" s="170">
        <v>11.4</v>
      </c>
      <c r="E77" s="164">
        <v>93.8</v>
      </c>
      <c r="G77" s="164" t="s">
        <v>448</v>
      </c>
      <c r="I77" s="164" t="s">
        <v>476</v>
      </c>
      <c r="J77" s="164">
        <v>96</v>
      </c>
      <c r="K77" s="171">
        <v>20.6</v>
      </c>
      <c r="L77" s="171">
        <v>16.100000000000001</v>
      </c>
      <c r="M77" s="164">
        <v>93.8</v>
      </c>
      <c r="N77" s="164"/>
      <c r="O77" s="164" t="s">
        <v>448</v>
      </c>
      <c r="Q77" s="164" t="s">
        <v>489</v>
      </c>
      <c r="R77" s="164">
        <v>72</v>
      </c>
      <c r="S77" s="171">
        <v>30.7</v>
      </c>
      <c r="T77" s="171">
        <v>25.9</v>
      </c>
      <c r="U77" s="164">
        <v>63.6</v>
      </c>
      <c r="V77" s="164"/>
      <c r="W77" s="164" t="s">
        <v>446</v>
      </c>
    </row>
    <row r="78" spans="1:23">
      <c r="A78" s="164"/>
      <c r="B78" s="164"/>
      <c r="C78" s="164"/>
      <c r="D78" s="169">
        <v>9.6999999999999993</v>
      </c>
      <c r="E78" s="164">
        <v>124.1</v>
      </c>
      <c r="G78" s="164" t="s">
        <v>449</v>
      </c>
      <c r="I78" s="164"/>
      <c r="J78" s="164"/>
      <c r="K78" s="164"/>
      <c r="L78" s="164">
        <v>13.6</v>
      </c>
      <c r="M78" s="164">
        <v>124.1</v>
      </c>
      <c r="N78" s="164"/>
      <c r="O78" s="164" t="s">
        <v>449</v>
      </c>
      <c r="Q78" s="164"/>
      <c r="R78" s="164"/>
      <c r="S78" s="164"/>
      <c r="T78" s="171">
        <v>21.8</v>
      </c>
      <c r="U78" s="164">
        <v>93.8</v>
      </c>
      <c r="V78" s="164"/>
      <c r="W78" s="164" t="s">
        <v>447</v>
      </c>
    </row>
    <row r="79" spans="1:23">
      <c r="A79" s="164" t="s">
        <v>468</v>
      </c>
      <c r="B79" s="164">
        <v>120</v>
      </c>
      <c r="C79" s="171">
        <v>17.3</v>
      </c>
      <c r="D79" s="170">
        <v>14.1</v>
      </c>
      <c r="E79" s="164">
        <v>93.8</v>
      </c>
      <c r="G79" s="164" t="s">
        <v>451</v>
      </c>
      <c r="I79" s="164" t="s">
        <v>468</v>
      </c>
      <c r="J79" s="164">
        <v>120</v>
      </c>
      <c r="K79" s="171">
        <v>24.2</v>
      </c>
      <c r="L79" s="171">
        <v>19.7</v>
      </c>
      <c r="M79" s="164">
        <v>93.8</v>
      </c>
      <c r="N79" s="164"/>
      <c r="O79" s="164" t="s">
        <v>451</v>
      </c>
      <c r="Q79" s="164"/>
      <c r="R79" s="164"/>
      <c r="S79" s="164"/>
      <c r="T79" s="164"/>
      <c r="U79" s="164"/>
      <c r="V79" s="164"/>
      <c r="W79" s="164"/>
    </row>
    <row r="80" spans="1:23">
      <c r="A80" s="164" t="s">
        <v>482</v>
      </c>
      <c r="B80" s="164"/>
      <c r="C80" s="164"/>
      <c r="D80" s="170">
        <v>10.5</v>
      </c>
      <c r="E80" s="164">
        <v>154.30000000000001</v>
      </c>
      <c r="G80" s="164" t="s">
        <v>450</v>
      </c>
      <c r="I80" s="164" t="s">
        <v>482</v>
      </c>
      <c r="J80" s="164"/>
      <c r="K80" s="164"/>
      <c r="L80" s="164">
        <v>14.6</v>
      </c>
      <c r="M80" s="164">
        <v>154.30000000000001</v>
      </c>
      <c r="N80" s="164"/>
      <c r="O80" s="164" t="s">
        <v>450</v>
      </c>
      <c r="Q80" s="164"/>
      <c r="R80" s="164"/>
      <c r="S80" s="164"/>
      <c r="T80" s="164"/>
      <c r="U80" s="164"/>
      <c r="V80" s="164"/>
      <c r="W80" s="164"/>
    </row>
    <row r="81" spans="1:23">
      <c r="A81" s="164" t="s">
        <v>474</v>
      </c>
      <c r="B81" s="164">
        <v>144</v>
      </c>
      <c r="C81" s="171">
        <v>19.899999999999999</v>
      </c>
      <c r="D81" s="170">
        <v>14.8</v>
      </c>
      <c r="E81" s="164">
        <v>124.1</v>
      </c>
      <c r="G81" s="164" t="s">
        <v>452</v>
      </c>
      <c r="I81" s="164" t="s">
        <v>483</v>
      </c>
      <c r="J81" s="164">
        <v>144</v>
      </c>
      <c r="K81" s="171">
        <v>27.6</v>
      </c>
      <c r="L81" s="171">
        <v>20.399999999999999</v>
      </c>
      <c r="M81" s="164">
        <v>124.1</v>
      </c>
      <c r="N81" s="164"/>
      <c r="O81" s="164" t="s">
        <v>452</v>
      </c>
      <c r="Q81" s="164" t="s">
        <v>431</v>
      </c>
      <c r="R81" s="164" t="s">
        <v>432</v>
      </c>
      <c r="S81" s="164" t="s">
        <v>435</v>
      </c>
      <c r="T81" s="164"/>
      <c r="U81" s="164"/>
      <c r="V81" s="164"/>
      <c r="W81" s="164"/>
    </row>
    <row r="82" spans="1:23">
      <c r="A82" s="164"/>
      <c r="B82" s="164"/>
      <c r="C82" s="164"/>
      <c r="D82" s="170">
        <v>12.9</v>
      </c>
      <c r="E82" s="164">
        <v>154.30000000000001</v>
      </c>
      <c r="G82" s="164" t="s">
        <v>453</v>
      </c>
      <c r="I82" s="164"/>
      <c r="J82" s="164"/>
      <c r="K82" s="164"/>
      <c r="L82" s="171">
        <v>17.7</v>
      </c>
      <c r="M82" s="164">
        <v>154.30000000000001</v>
      </c>
      <c r="N82" s="164"/>
      <c r="O82" s="164" t="s">
        <v>453</v>
      </c>
      <c r="Q82" s="164" t="s">
        <v>23</v>
      </c>
      <c r="R82">
        <v>5</v>
      </c>
      <c r="S82" s="169">
        <v>9.8000000000000007</v>
      </c>
      <c r="T82" s="164"/>
      <c r="U82" s="164"/>
      <c r="V82" s="164"/>
      <c r="W82" s="164"/>
    </row>
    <row r="83" spans="1:23">
      <c r="A83" s="164"/>
      <c r="B83" s="164"/>
      <c r="C83" s="164"/>
      <c r="D83" s="170">
        <v>11.4</v>
      </c>
      <c r="E83" s="164">
        <v>184.6</v>
      </c>
      <c r="G83" s="164" t="s">
        <v>454</v>
      </c>
      <c r="I83" s="164"/>
      <c r="J83" s="164"/>
      <c r="K83" s="164"/>
      <c r="L83" s="171">
        <v>15.6</v>
      </c>
      <c r="M83" s="164">
        <v>184.6</v>
      </c>
      <c r="N83" s="164"/>
      <c r="O83" s="164" t="s">
        <v>454</v>
      </c>
      <c r="Q83" s="164" t="s">
        <v>466</v>
      </c>
      <c r="R83">
        <v>6</v>
      </c>
      <c r="S83" s="170">
        <v>10.9</v>
      </c>
      <c r="T83" s="164"/>
      <c r="U83" s="164"/>
      <c r="V83" s="164"/>
      <c r="W83" s="164"/>
    </row>
    <row r="84" spans="1:23">
      <c r="A84" s="164"/>
      <c r="B84" s="164">
        <v>168</v>
      </c>
      <c r="C84" s="171">
        <v>22.4</v>
      </c>
      <c r="D84" s="171">
        <v>17.399999999999999</v>
      </c>
      <c r="E84" s="164">
        <v>124.1</v>
      </c>
      <c r="G84" s="164" t="s">
        <v>455</v>
      </c>
      <c r="I84" s="164"/>
      <c r="J84" s="164">
        <v>168</v>
      </c>
      <c r="K84" s="171">
        <v>30.9</v>
      </c>
      <c r="L84" s="171">
        <v>23.8</v>
      </c>
      <c r="M84" s="164">
        <v>124.1</v>
      </c>
      <c r="N84" s="164"/>
      <c r="O84" s="164" t="s">
        <v>455</v>
      </c>
      <c r="Q84" s="164"/>
      <c r="R84" s="164">
        <v>12</v>
      </c>
      <c r="S84" s="171">
        <v>15.8</v>
      </c>
      <c r="T84" s="164"/>
      <c r="U84" s="164"/>
      <c r="V84" s="164"/>
      <c r="W84" s="164"/>
    </row>
    <row r="85" spans="1:23">
      <c r="A85" s="164"/>
      <c r="B85" s="164"/>
      <c r="C85" s="164"/>
      <c r="D85" s="171">
        <v>15.3</v>
      </c>
      <c r="E85" s="164">
        <v>154.30000000000001</v>
      </c>
      <c r="G85" s="164" t="s">
        <v>456</v>
      </c>
      <c r="I85" s="164"/>
      <c r="J85" s="164"/>
      <c r="K85" s="164"/>
      <c r="L85" s="171">
        <v>20.9</v>
      </c>
      <c r="M85" s="164">
        <v>154.30000000000001</v>
      </c>
      <c r="N85" s="164"/>
      <c r="O85" s="164" t="s">
        <v>456</v>
      </c>
      <c r="Q85" s="164" t="s">
        <v>487</v>
      </c>
      <c r="R85" s="164">
        <v>24</v>
      </c>
      <c r="S85" s="171">
        <v>23.4</v>
      </c>
    </row>
    <row r="86" spans="1:23">
      <c r="A86" s="164"/>
      <c r="B86" s="164"/>
      <c r="C86" s="164"/>
      <c r="D86" s="170">
        <v>13.5</v>
      </c>
      <c r="E86" s="164">
        <v>184.6</v>
      </c>
      <c r="G86" s="164" t="s">
        <v>457</v>
      </c>
      <c r="I86" s="164"/>
      <c r="J86" s="164"/>
      <c r="K86" s="164"/>
      <c r="L86" s="171">
        <v>18.3</v>
      </c>
      <c r="M86" s="164">
        <v>184.6</v>
      </c>
      <c r="N86" s="164"/>
      <c r="O86" s="164" t="s">
        <v>457</v>
      </c>
      <c r="Q86" s="164" t="s">
        <v>486</v>
      </c>
      <c r="R86" s="164">
        <v>48</v>
      </c>
      <c r="S86" s="171">
        <v>35.5</v>
      </c>
    </row>
    <row r="87" spans="1:23">
      <c r="A87" s="164"/>
      <c r="B87" s="164"/>
      <c r="C87" s="164"/>
      <c r="D87" s="170">
        <v>12</v>
      </c>
      <c r="E87" s="164">
        <v>214.8</v>
      </c>
      <c r="G87" s="164" t="s">
        <v>458</v>
      </c>
      <c r="I87" s="164"/>
      <c r="J87" s="164"/>
      <c r="K87" s="164"/>
      <c r="L87" s="171">
        <v>16.3</v>
      </c>
      <c r="M87" s="164">
        <v>214.8</v>
      </c>
      <c r="N87" s="164"/>
      <c r="O87" s="164" t="s">
        <v>458</v>
      </c>
    </row>
    <row r="88" spans="1:23">
      <c r="A88" s="164"/>
      <c r="B88" s="164">
        <v>192</v>
      </c>
      <c r="C88" s="171">
        <v>24.9</v>
      </c>
      <c r="D88" s="171">
        <v>17.7</v>
      </c>
      <c r="E88" s="164">
        <v>154.30000000000001</v>
      </c>
      <c r="G88" s="164" t="s">
        <v>459</v>
      </c>
      <c r="I88" s="164"/>
      <c r="J88" s="164">
        <v>192</v>
      </c>
      <c r="K88" s="171">
        <v>34.1</v>
      </c>
      <c r="L88" s="171">
        <v>24</v>
      </c>
      <c r="M88" s="164">
        <v>154.30000000000001</v>
      </c>
      <c r="N88" s="164"/>
      <c r="O88" s="164" t="s">
        <v>459</v>
      </c>
    </row>
    <row r="89" spans="1:23">
      <c r="A89" s="164"/>
      <c r="B89" s="164"/>
      <c r="C89" s="164"/>
      <c r="D89" s="171">
        <v>15.7</v>
      </c>
      <c r="E89" s="164">
        <v>184.6</v>
      </c>
      <c r="G89" s="164" t="s">
        <v>460</v>
      </c>
      <c r="I89" s="164"/>
      <c r="J89" s="164"/>
      <c r="K89" s="164"/>
      <c r="L89" s="171">
        <v>21.2</v>
      </c>
      <c r="M89" s="164">
        <v>184.6</v>
      </c>
      <c r="N89" s="164"/>
      <c r="O89" s="164" t="s">
        <v>460</v>
      </c>
    </row>
    <row r="90" spans="1:23">
      <c r="A90" s="164"/>
      <c r="B90" s="164"/>
      <c r="C90" s="164"/>
      <c r="D90" s="170">
        <v>14.1</v>
      </c>
      <c r="E90" s="164">
        <v>214.8</v>
      </c>
      <c r="G90" s="164" t="s">
        <v>461</v>
      </c>
      <c r="I90" s="164"/>
      <c r="J90" s="164"/>
      <c r="K90" s="164"/>
      <c r="L90" s="171">
        <v>19</v>
      </c>
      <c r="M90" s="164">
        <v>214.8</v>
      </c>
      <c r="N90" s="164"/>
      <c r="O90" s="164" t="s">
        <v>461</v>
      </c>
    </row>
    <row r="91" spans="1:23">
      <c r="A91" s="164"/>
      <c r="B91" s="164"/>
      <c r="C91" s="164"/>
      <c r="D91" s="170">
        <v>12.6</v>
      </c>
      <c r="E91" s="164">
        <v>245.1</v>
      </c>
      <c r="G91" s="164" t="s">
        <v>462</v>
      </c>
      <c r="I91" s="164"/>
      <c r="J91" s="164"/>
      <c r="K91" s="164"/>
      <c r="L91" s="171">
        <v>16.899999999999999</v>
      </c>
      <c r="M91" s="164">
        <v>245.1</v>
      </c>
      <c r="N91" s="164"/>
      <c r="O91" s="164" t="s">
        <v>462</v>
      </c>
    </row>
  </sheetData>
  <pageMargins left="0.7" right="0.7" top="0.75" bottom="0.75" header="0.3" footer="0.3"/>
  <pageSetup paperSize="9" orientation="portrait"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CBEC7-3C09-4B7C-AD25-C505714D79E5}">
  <dimension ref="A13:K54"/>
  <sheetViews>
    <sheetView workbookViewId="0">
      <selection activeCell="C26" sqref="C26"/>
    </sheetView>
  </sheetViews>
  <sheetFormatPr defaultColWidth="11.42578125" defaultRowHeight="15"/>
  <cols>
    <col min="1" max="1" width="16.5703125" bestFit="1" customWidth="1"/>
    <col min="4" max="11" width="8.7109375" customWidth="1"/>
  </cols>
  <sheetData>
    <row r="13" spans="1:11">
      <c r="A13" t="s">
        <v>431</v>
      </c>
      <c r="B13" t="s">
        <v>306</v>
      </c>
      <c r="C13" t="s">
        <v>501</v>
      </c>
      <c r="D13">
        <v>6</v>
      </c>
      <c r="E13">
        <v>12</v>
      </c>
      <c r="F13">
        <v>24</v>
      </c>
      <c r="G13">
        <v>48</v>
      </c>
      <c r="H13">
        <v>72</v>
      </c>
      <c r="I13">
        <v>96</v>
      </c>
      <c r="J13">
        <v>144</v>
      </c>
      <c r="K13">
        <v>216</v>
      </c>
    </row>
    <row r="14" spans="1:11">
      <c r="B14" s="4">
        <v>95</v>
      </c>
      <c r="C14" s="175">
        <v>5</v>
      </c>
      <c r="D14" s="118">
        <f t="shared" ref="D14:K15" si="0">(0.8*D$13+0.0578*D$13^0.5/($C14/1000))*$B14/1000</f>
        <v>3.1460296355244859</v>
      </c>
      <c r="E14" s="118">
        <f t="shared" si="0"/>
        <v>4.7162763937442813</v>
      </c>
      <c r="F14" s="118">
        <f t="shared" si="0"/>
        <v>7.2040592710489708</v>
      </c>
      <c r="G14" s="118">
        <f t="shared" si="0"/>
        <v>11.256552787488562</v>
      </c>
      <c r="H14" s="118">
        <f t="shared" si="0"/>
        <v>14.790536005188796</v>
      </c>
      <c r="I14" s="118">
        <f t="shared" si="0"/>
        <v>18.056118542097945</v>
      </c>
      <c r="J14" s="118">
        <f t="shared" si="0"/>
        <v>24.122400000000003</v>
      </c>
      <c r="K14" s="118">
        <f t="shared" si="0"/>
        <v>32.556177813146917</v>
      </c>
    </row>
    <row r="15" spans="1:11">
      <c r="A15" t="s">
        <v>129</v>
      </c>
      <c r="B15" s="4">
        <f>VLOOKUP(A15,'Cable list'!C:N,12,FALSE)</f>
        <v>86.550426209091896</v>
      </c>
      <c r="C15" s="175">
        <f>VLOOKUP(A15,'Cable list'!C:N,8,FALSE)</f>
        <v>4.9000000000000004</v>
      </c>
      <c r="D15" s="118">
        <f t="shared" si="0"/>
        <v>2.9162284203442677</v>
      </c>
      <c r="E15" s="118">
        <f t="shared" si="0"/>
        <v>4.3675300990804802</v>
      </c>
      <c r="F15" s="118">
        <f t="shared" si="0"/>
        <v>6.663340932295819</v>
      </c>
      <c r="G15" s="118">
        <f t="shared" si="0"/>
        <v>10.396828381375524</v>
      </c>
      <c r="H15" s="118">
        <f t="shared" si="0"/>
        <v>13.648282668804368</v>
      </c>
      <c r="I15" s="118">
        <f t="shared" si="0"/>
        <v>16.650218231020766</v>
      </c>
      <c r="J15" s="118">
        <f t="shared" si="0"/>
        <v>22.221910245945779</v>
      </c>
      <c r="K15" s="118">
        <f t="shared" si="0"/>
        <v>29.960631896174839</v>
      </c>
    </row>
    <row r="16" spans="1:11">
      <c r="A16" s="176" t="s">
        <v>502</v>
      </c>
      <c r="D16" s="118">
        <v>2.9</v>
      </c>
      <c r="E16" s="118">
        <v>4.4000000000000004</v>
      </c>
      <c r="F16" s="118">
        <v>6.7</v>
      </c>
      <c r="G16" s="118">
        <v>10.7</v>
      </c>
      <c r="H16" s="118">
        <v>14.2</v>
      </c>
      <c r="I16" s="118">
        <v>17.5</v>
      </c>
      <c r="J16" s="118">
        <v>23.7</v>
      </c>
      <c r="K16" s="118"/>
    </row>
    <row r="18" spans="1:11">
      <c r="B18" s="4">
        <v>75</v>
      </c>
      <c r="C18" s="175">
        <v>7</v>
      </c>
      <c r="D18" s="118">
        <f t="shared" ref="D18:K19" si="1">(0.8*D$13+0.0578*D$13^0.5/($C18/1000))*$B18/1000</f>
        <v>1.876934004995011</v>
      </c>
      <c r="E18" s="118">
        <f t="shared" si="1"/>
        <v>2.8652686430888807</v>
      </c>
      <c r="F18" s="118">
        <f t="shared" si="1"/>
        <v>4.4738680099900217</v>
      </c>
      <c r="G18" s="118">
        <f t="shared" si="1"/>
        <v>7.1705372861777628</v>
      </c>
      <c r="H18" s="118">
        <f t="shared" si="1"/>
        <v>9.5748135367605993</v>
      </c>
      <c r="I18" s="118">
        <f t="shared" si="1"/>
        <v>11.827736019980046</v>
      </c>
      <c r="J18" s="118">
        <f t="shared" si="1"/>
        <v>16.071428571428569</v>
      </c>
      <c r="K18" s="118">
        <f t="shared" si="1"/>
        <v>22.061604029970066</v>
      </c>
    </row>
    <row r="19" spans="1:11">
      <c r="A19" t="s">
        <v>23</v>
      </c>
      <c r="B19" s="4">
        <f>VLOOKUP(A19,'Cable list'!C:N,12,FALSE)</f>
        <v>76.489955752799958</v>
      </c>
      <c r="C19" s="175">
        <f>VLOOKUP(A19,'Cable list'!C:N,8,FALSE)</f>
        <v>5.5</v>
      </c>
      <c r="D19" s="118">
        <f t="shared" si="1"/>
        <v>2.3361493741683539</v>
      </c>
      <c r="E19" s="118">
        <f t="shared" si="1"/>
        <v>3.5188866664127318</v>
      </c>
      <c r="F19" s="118">
        <f t="shared" si="1"/>
        <v>5.4066023235635887</v>
      </c>
      <c r="G19" s="118">
        <f t="shared" si="1"/>
        <v>8.5063804832792229</v>
      </c>
      <c r="H19" s="118">
        <f t="shared" si="1"/>
        <v>11.226629171148497</v>
      </c>
      <c r="I19" s="118">
        <f t="shared" si="1"/>
        <v>13.750418948034694</v>
      </c>
      <c r="J19" s="118">
        <f t="shared" si="1"/>
        <v>18.457721686384748</v>
      </c>
      <c r="K19" s="118">
        <f t="shared" si="1"/>
        <v>25.031449873413322</v>
      </c>
    </row>
    <row r="20" spans="1:11">
      <c r="A20" s="176" t="s">
        <v>502</v>
      </c>
      <c r="D20" s="118">
        <v>2.4</v>
      </c>
      <c r="E20" s="118">
        <v>3.5</v>
      </c>
      <c r="F20" s="118">
        <v>5.4</v>
      </c>
      <c r="G20" s="118">
        <v>8.6999999999999993</v>
      </c>
      <c r="H20" s="118">
        <v>11.6</v>
      </c>
      <c r="I20" s="118">
        <v>14.3</v>
      </c>
      <c r="J20" s="118">
        <v>19.5</v>
      </c>
    </row>
    <row r="21" spans="1:11" s="174" customFormat="1">
      <c r="A21" s="176"/>
      <c r="D21" s="118"/>
      <c r="E21" s="118"/>
      <c r="F21" s="118"/>
      <c r="G21" s="118"/>
      <c r="H21" s="118"/>
      <c r="I21" s="118"/>
      <c r="J21" s="118"/>
    </row>
    <row r="22" spans="1:11">
      <c r="A22" t="s">
        <v>133</v>
      </c>
      <c r="B22" s="4">
        <f>VLOOKUP(A22,'Cable list'!C:N,12,FALSE)</f>
        <v>76.080585444574339</v>
      </c>
      <c r="C22" s="175">
        <f>VLOOKUP(A22,'Cable list'!C:N,8,FALSE)</f>
        <v>6.9</v>
      </c>
      <c r="D22" s="118">
        <f t="shared" ref="D22:K22" si="2">(0.8*D$13+0.0578*D$13^0.5/($C22/1000))*$B22/1000</f>
        <v>1.9262778058163199</v>
      </c>
      <c r="E22" s="118">
        <f t="shared" si="2"/>
        <v>2.9380896784604307</v>
      </c>
      <c r="F22" s="118">
        <f t="shared" si="2"/>
        <v>4.5829292319005539</v>
      </c>
      <c r="G22" s="118">
        <f t="shared" si="2"/>
        <v>7.3369265974566886</v>
      </c>
      <c r="H22" s="118">
        <f t="shared" si="2"/>
        <v>9.7900195611277621</v>
      </c>
      <c r="I22" s="118">
        <f t="shared" si="2"/>
        <v>12.087352944872761</v>
      </c>
      <c r="J22" s="118">
        <f t="shared" si="2"/>
        <v>16.412236206165218</v>
      </c>
      <c r="K22" s="118">
        <f t="shared" si="2"/>
        <v>22.513271138916625</v>
      </c>
    </row>
    <row r="23" spans="1:11">
      <c r="A23" s="176" t="s">
        <v>502</v>
      </c>
      <c r="D23" s="118">
        <v>1.8</v>
      </c>
      <c r="E23" s="118">
        <v>2.6</v>
      </c>
      <c r="F23" s="118">
        <v>4</v>
      </c>
      <c r="G23" s="118">
        <v>6.2</v>
      </c>
      <c r="H23" s="118">
        <v>8.1</v>
      </c>
      <c r="I23" s="118">
        <v>9.9</v>
      </c>
      <c r="J23" s="118">
        <v>13.2</v>
      </c>
    </row>
    <row r="25" spans="1:11">
      <c r="B25" s="4">
        <v>65</v>
      </c>
      <c r="C25" s="175">
        <v>7.7</v>
      </c>
      <c r="D25" s="118">
        <f t="shared" ref="D25:K26" si="3">(0.8*D$13+0.0578*D$13^0.5/($C25/1000))*$B25/1000</f>
        <v>1.5071601251475844</v>
      </c>
      <c r="E25" s="118">
        <f t="shared" si="3"/>
        <v>2.3142116581912391</v>
      </c>
      <c r="F25" s="118">
        <f t="shared" si="3"/>
        <v>3.6383202502951684</v>
      </c>
      <c r="G25" s="118">
        <f t="shared" si="3"/>
        <v>5.8764233163824793</v>
      </c>
      <c r="H25" s="118">
        <f t="shared" si="3"/>
        <v>7.8841561198719878</v>
      </c>
      <c r="I25" s="118">
        <f t="shared" si="3"/>
        <v>9.7726405005903381</v>
      </c>
      <c r="J25" s="118">
        <f t="shared" si="3"/>
        <v>13.343064935064936</v>
      </c>
      <c r="K25" s="118">
        <f t="shared" si="3"/>
        <v>18.402960750885505</v>
      </c>
    </row>
    <row r="26" spans="1:11">
      <c r="A26" t="s">
        <v>143</v>
      </c>
      <c r="B26" s="4">
        <f>VLOOKUP(A26,'Cable list'!C:N,12,FALSE)</f>
        <v>69.154829996011728</v>
      </c>
      <c r="C26" s="175">
        <f>VLOOKUP(A26,'Cable list'!C:N,8,FALSE)</f>
        <v>7.6</v>
      </c>
      <c r="D26" s="118">
        <f t="shared" si="3"/>
        <v>1.6202294868127762</v>
      </c>
      <c r="E26" s="118">
        <f t="shared" si="3"/>
        <v>2.4857983296461055</v>
      </c>
      <c r="F26" s="118">
        <f t="shared" si="3"/>
        <v>3.9043453415872649</v>
      </c>
      <c r="G26" s="118">
        <f t="shared" si="3"/>
        <v>6.2993693952156384</v>
      </c>
      <c r="H26" s="118">
        <f t="shared" si="3"/>
        <v>8.4460728701701751</v>
      </c>
      <c r="I26" s="118">
        <f t="shared" si="3"/>
        <v>10.464236155021378</v>
      </c>
      <c r="J26" s="118">
        <f t="shared" si="3"/>
        <v>14.277924584650252</v>
      </c>
      <c r="K26" s="118">
        <f t="shared" si="3"/>
        <v>19.679672440302344</v>
      </c>
    </row>
    <row r="27" spans="1:11">
      <c r="A27" s="176" t="s">
        <v>502</v>
      </c>
      <c r="D27" s="118"/>
      <c r="E27" s="118"/>
      <c r="F27" s="118"/>
      <c r="G27" s="118"/>
      <c r="H27" s="118"/>
      <c r="I27" s="118"/>
      <c r="J27" s="118"/>
    </row>
    <row r="40" spans="1:11">
      <c r="A40" s="174" t="s">
        <v>431</v>
      </c>
      <c r="B40" s="174" t="s">
        <v>306</v>
      </c>
      <c r="C40" s="174" t="s">
        <v>501</v>
      </c>
      <c r="D40" s="174">
        <v>6</v>
      </c>
      <c r="E40" s="174">
        <v>12</v>
      </c>
      <c r="F40" s="174">
        <v>24</v>
      </c>
      <c r="G40" s="174">
        <v>48</v>
      </c>
      <c r="H40" s="174">
        <v>72</v>
      </c>
      <c r="I40" s="174">
        <v>96</v>
      </c>
      <c r="J40" s="174">
        <v>144</v>
      </c>
      <c r="K40" s="174">
        <v>216</v>
      </c>
    </row>
    <row r="41" spans="1:11">
      <c r="A41" s="174"/>
      <c r="B41" s="4">
        <v>95</v>
      </c>
      <c r="C41" s="175">
        <v>5</v>
      </c>
      <c r="D41" s="118">
        <f>(0.8*D$13+0.0772*D$13^0.5/($C41/1000))*$B41/1000</f>
        <v>4.0489115547143655</v>
      </c>
      <c r="E41" s="118">
        <f t="shared" ref="E41:K42" si="4">(0.8*E$13+0.0772*E$13^0.5/($C41/1000))*$B41/1000</f>
        <v>5.9931442490840583</v>
      </c>
      <c r="F41" s="118">
        <f t="shared" si="4"/>
        <v>9.0098231094287318</v>
      </c>
      <c r="G41" s="118">
        <f t="shared" si="4"/>
        <v>13.810288498168118</v>
      </c>
      <c r="H41" s="118">
        <f t="shared" si="4"/>
        <v>17.918210719733136</v>
      </c>
      <c r="I41" s="118">
        <f t="shared" si="4"/>
        <v>21.667646218857463</v>
      </c>
      <c r="J41" s="118">
        <f t="shared" si="4"/>
        <v>28.545600000000004</v>
      </c>
      <c r="K41" s="118">
        <f t="shared" si="4"/>
        <v>37.9734693282862</v>
      </c>
    </row>
    <row r="42" spans="1:11">
      <c r="A42" s="174" t="s">
        <v>129</v>
      </c>
      <c r="B42" s="4">
        <f>VLOOKUP(A42,'Cable list'!C:N,12,FALSE)</f>
        <v>86.550426209091896</v>
      </c>
      <c r="C42" s="175">
        <f>VLOOKUP(A42,'Cable list'!C:N,8,FALSE)</f>
        <v>4.9000000000000004</v>
      </c>
      <c r="D42" s="118">
        <f>(0.8*D$13+0.0772*D$13^0.5/($C42/1000))*$B42/1000</f>
        <v>3.7555927052246862</v>
      </c>
      <c r="E42" s="118">
        <f t="shared" si="4"/>
        <v>5.5545704545299603</v>
      </c>
      <c r="F42" s="118">
        <f t="shared" si="4"/>
        <v>8.3420695020566544</v>
      </c>
      <c r="G42" s="118">
        <f t="shared" si="4"/>
        <v>12.770909092274486</v>
      </c>
      <c r="H42" s="118">
        <f t="shared" si="4"/>
        <v>16.555925843747573</v>
      </c>
      <c r="I42" s="118">
        <f t="shared" si="4"/>
        <v>20.007675370542437</v>
      </c>
      <c r="J42" s="118">
        <f t="shared" si="4"/>
        <v>26.333938658492023</v>
      </c>
      <c r="K42" s="118">
        <f t="shared" si="4"/>
        <v>34.996817605457359</v>
      </c>
    </row>
    <row r="43" spans="1:11">
      <c r="A43" s="176" t="s">
        <v>502</v>
      </c>
      <c r="B43" s="174"/>
      <c r="C43" s="174"/>
      <c r="D43" s="118"/>
      <c r="E43" s="118"/>
      <c r="F43" s="118"/>
      <c r="G43" s="118"/>
      <c r="H43" s="118"/>
      <c r="I43" s="118">
        <v>25.2</v>
      </c>
      <c r="J43" s="118"/>
      <c r="K43" s="118"/>
    </row>
    <row r="44" spans="1:11">
      <c r="A44" s="174"/>
      <c r="B44" s="174"/>
      <c r="C44" s="174"/>
      <c r="D44" s="174"/>
      <c r="E44" s="174"/>
      <c r="F44" s="174"/>
      <c r="G44" s="174"/>
      <c r="H44" s="174"/>
      <c r="I44" s="174"/>
      <c r="J44" s="174"/>
      <c r="K44" s="174"/>
    </row>
    <row r="45" spans="1:11">
      <c r="A45" s="174"/>
      <c r="B45" s="4">
        <v>75</v>
      </c>
      <c r="C45" s="175">
        <v>7</v>
      </c>
      <c r="D45" s="118">
        <f t="shared" ref="D45:K46" si="5">(0.8*D$13+0.0772*D$13^0.5/($C45/1000))*$B45/1000</f>
        <v>2.3860779443878002</v>
      </c>
      <c r="E45" s="118">
        <f t="shared" si="5"/>
        <v>3.5853069073782287</v>
      </c>
      <c r="F45" s="118">
        <f t="shared" si="5"/>
        <v>5.492155888775601</v>
      </c>
      <c r="G45" s="118">
        <f t="shared" si="5"/>
        <v>8.6106138147564586</v>
      </c>
      <c r="H45" s="118">
        <f t="shared" si="5"/>
        <v>11.33853987954876</v>
      </c>
      <c r="I45" s="118">
        <f t="shared" si="5"/>
        <v>13.864311777551199</v>
      </c>
      <c r="J45" s="118">
        <f t="shared" si="5"/>
        <v>18.565714285714286</v>
      </c>
      <c r="K45" s="118">
        <f t="shared" si="5"/>
        <v>25.116467666326802</v>
      </c>
    </row>
    <row r="46" spans="1:11">
      <c r="A46" s="174" t="s">
        <v>23</v>
      </c>
      <c r="B46" s="4">
        <f>VLOOKUP(A46,'Cable list'!C:N,12,FALSE)</f>
        <v>76.489955752799958</v>
      </c>
      <c r="C46" s="175">
        <f>VLOOKUP(A46,'Cable list'!C:N,8,FALSE)</f>
        <v>5.5</v>
      </c>
      <c r="D46" s="118">
        <f t="shared" si="5"/>
        <v>2.9970239966452632</v>
      </c>
      <c r="E46" s="118">
        <f t="shared" si="5"/>
        <v>4.4535045205477752</v>
      </c>
      <c r="F46" s="118">
        <f t="shared" si="5"/>
        <v>6.7283515685174056</v>
      </c>
      <c r="G46" s="118">
        <f t="shared" si="5"/>
        <v>10.375616191549311</v>
      </c>
      <c r="H46" s="118">
        <f t="shared" si="5"/>
        <v>13.515966018274312</v>
      </c>
      <c r="I46" s="118">
        <f t="shared" si="5"/>
        <v>16.393917437942331</v>
      </c>
      <c r="J46" s="118">
        <f t="shared" si="5"/>
        <v>21.695332904430536</v>
      </c>
      <c r="K46" s="118">
        <f t="shared" si="5"/>
        <v>28.996697608274776</v>
      </c>
    </row>
    <row r="47" spans="1:11">
      <c r="A47" s="176" t="s">
        <v>502</v>
      </c>
      <c r="B47" s="174"/>
      <c r="C47" s="174"/>
      <c r="D47" s="118"/>
      <c r="E47" s="118"/>
      <c r="F47" s="118"/>
      <c r="G47" s="118"/>
      <c r="H47" s="118"/>
      <c r="I47" s="118">
        <v>20.2</v>
      </c>
      <c r="J47" s="118"/>
      <c r="K47" s="174"/>
    </row>
    <row r="48" spans="1:11">
      <c r="A48" s="176"/>
      <c r="B48" s="174"/>
      <c r="C48" s="174"/>
      <c r="D48" s="118"/>
      <c r="E48" s="118"/>
      <c r="F48" s="118"/>
      <c r="G48" s="118"/>
      <c r="H48" s="118"/>
      <c r="I48" s="118"/>
      <c r="J48" s="118"/>
      <c r="K48" s="174"/>
    </row>
    <row r="49" spans="1:11">
      <c r="A49" s="174" t="s">
        <v>133</v>
      </c>
      <c r="B49" s="4">
        <f>VLOOKUP(A49,'Cable list'!C:N,12,FALSE)</f>
        <v>76.080585444574339</v>
      </c>
      <c r="C49" s="175">
        <f>VLOOKUP(A49,'Cable list'!C:N,8,FALSE)</f>
        <v>6.9</v>
      </c>
      <c r="D49" s="118">
        <f t="shared" ref="D49:K49" si="6">(0.8*D$13+0.0772*D$13^0.5/($C49/1000))*$B49/1000</f>
        <v>2.4502426036751062</v>
      </c>
      <c r="E49" s="118">
        <f t="shared" si="6"/>
        <v>3.6790878017984032</v>
      </c>
      <c r="F49" s="118">
        <f t="shared" si="6"/>
        <v>5.630858827618126</v>
      </c>
      <c r="G49" s="118">
        <f t="shared" si="6"/>
        <v>8.8189228441326346</v>
      </c>
      <c r="H49" s="118">
        <f t="shared" si="6"/>
        <v>11.605086863665711</v>
      </c>
      <c r="I49" s="118">
        <f t="shared" si="6"/>
        <v>14.183212136307908</v>
      </c>
      <c r="J49" s="118">
        <f t="shared" si="6"/>
        <v>18.979129002034338</v>
      </c>
      <c r="K49" s="118">
        <f t="shared" si="6"/>
        <v>25.657059926069341</v>
      </c>
    </row>
    <row r="50" spans="1:11">
      <c r="A50" s="176" t="s">
        <v>502</v>
      </c>
      <c r="B50" s="174"/>
      <c r="C50" s="174"/>
      <c r="D50" s="118"/>
      <c r="E50" s="118"/>
      <c r="F50" s="118"/>
      <c r="G50" s="118"/>
      <c r="H50" s="118"/>
      <c r="I50" s="118">
        <v>14.5</v>
      </c>
      <c r="J50" s="118"/>
      <c r="K50" s="174"/>
    </row>
    <row r="51" spans="1:11">
      <c r="A51" s="174"/>
      <c r="B51" s="174"/>
      <c r="C51" s="174"/>
      <c r="D51" s="174"/>
      <c r="E51" s="174"/>
      <c r="F51" s="174"/>
      <c r="G51" s="174"/>
      <c r="H51" s="174"/>
      <c r="I51" s="174"/>
      <c r="J51" s="174"/>
      <c r="K51" s="174"/>
    </row>
    <row r="52" spans="1:11">
      <c r="A52" s="174"/>
      <c r="B52" s="4">
        <v>65</v>
      </c>
      <c r="C52" s="175">
        <v>7.7</v>
      </c>
      <c r="D52" s="118">
        <f t="shared" ref="D52:K53" si="7">(0.8*D$13+0.0772*D$13^0.5/($C52/1000))*$B52/1000</f>
        <v>1.9083038349722059</v>
      </c>
      <c r="E52" s="118">
        <f t="shared" si="7"/>
        <v>2.8815145330858769</v>
      </c>
      <c r="F52" s="118">
        <f t="shared" si="7"/>
        <v>4.4406076699444119</v>
      </c>
      <c r="G52" s="118">
        <f t="shared" si="7"/>
        <v>7.0110290661717531</v>
      </c>
      <c r="H52" s="118">
        <f t="shared" si="7"/>
        <v>9.2737586929778093</v>
      </c>
      <c r="I52" s="118">
        <f t="shared" si="7"/>
        <v>11.377215339888824</v>
      </c>
      <c r="J52" s="118">
        <f t="shared" si="7"/>
        <v>15.308259740259741</v>
      </c>
      <c r="K52" s="118">
        <f t="shared" si="7"/>
        <v>20.809823009833238</v>
      </c>
    </row>
    <row r="53" spans="1:11">
      <c r="A53" s="174" t="s">
        <v>143</v>
      </c>
      <c r="B53" s="4">
        <f>VLOOKUP(A53,'Cable list'!C:N,12,FALSE)</f>
        <v>69.154829996011728</v>
      </c>
      <c r="C53" s="175">
        <f>VLOOKUP(A53,'Cable list'!C:N,8,FALSE)</f>
        <v>7.6</v>
      </c>
      <c r="D53" s="118">
        <f t="shared" si="7"/>
        <v>2.0526300798048047</v>
      </c>
      <c r="E53" s="118">
        <f t="shared" si="7"/>
        <v>3.0973051126336015</v>
      </c>
      <c r="F53" s="118">
        <f t="shared" si="7"/>
        <v>4.7691465275713218</v>
      </c>
      <c r="G53" s="118">
        <f t="shared" si="7"/>
        <v>7.5223829611906279</v>
      </c>
      <c r="H53" s="118">
        <f t="shared" si="7"/>
        <v>9.9439524627403841</v>
      </c>
      <c r="I53" s="118">
        <f t="shared" si="7"/>
        <v>12.193838526989495</v>
      </c>
      <c r="J53" s="118">
        <f t="shared" si="7"/>
        <v>16.396246219264928</v>
      </c>
      <c r="K53" s="118">
        <f t="shared" si="7"/>
        <v>22.274075998254517</v>
      </c>
    </row>
    <row r="54" spans="1:11">
      <c r="A54" s="176" t="s">
        <v>502</v>
      </c>
      <c r="B54" s="174"/>
      <c r="C54" s="174"/>
      <c r="D54" s="118"/>
      <c r="E54" s="118"/>
      <c r="F54" s="118"/>
      <c r="G54" s="118"/>
      <c r="H54" s="118"/>
      <c r="I54" s="118"/>
      <c r="J54" s="118"/>
      <c r="K54" s="174"/>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BBF4C-1418-4C85-8EAF-1FDB7883D3AC}">
  <dimension ref="A1:L25"/>
  <sheetViews>
    <sheetView workbookViewId="0">
      <selection activeCell="A15" sqref="A15"/>
    </sheetView>
  </sheetViews>
  <sheetFormatPr defaultColWidth="11.42578125" defaultRowHeight="15"/>
  <cols>
    <col min="1" max="1" width="18.7109375" customWidth="1"/>
    <col min="2" max="2" width="18.7109375" style="168" customWidth="1"/>
    <col min="3" max="3" width="18.7109375" customWidth="1"/>
    <col min="4" max="4" width="11.42578125" style="168" customWidth="1"/>
    <col min="5" max="5" width="18.7109375" customWidth="1"/>
    <col min="7" max="7" width="18.7109375" style="168" customWidth="1"/>
    <col min="8" max="8" width="11.42578125" style="168"/>
    <col min="9" max="9" width="18.7109375" style="168" customWidth="1"/>
    <col min="10" max="10" width="11.42578125" style="168"/>
    <col min="11" max="12" width="18.7109375" customWidth="1"/>
  </cols>
  <sheetData>
    <row r="1" spans="1:12" s="168" customFormat="1">
      <c r="C1" s="168" t="s">
        <v>434</v>
      </c>
      <c r="G1" s="168" t="s">
        <v>463</v>
      </c>
      <c r="K1" s="168" t="s">
        <v>498</v>
      </c>
      <c r="L1" s="168" t="s">
        <v>92</v>
      </c>
    </row>
    <row r="2" spans="1:12" ht="30">
      <c r="A2" t="s">
        <v>497</v>
      </c>
      <c r="B2" s="25" t="s">
        <v>499</v>
      </c>
      <c r="C2" t="s">
        <v>467</v>
      </c>
      <c r="E2" t="s">
        <v>468</v>
      </c>
      <c r="G2" s="168" t="s">
        <v>467</v>
      </c>
      <c r="I2" s="168" t="s">
        <v>468</v>
      </c>
      <c r="K2" t="s">
        <v>216</v>
      </c>
      <c r="L2" t="s">
        <v>216</v>
      </c>
    </row>
    <row r="3" spans="1:12">
      <c r="A3" t="s">
        <v>139</v>
      </c>
      <c r="B3" s="167">
        <v>85</v>
      </c>
      <c r="C3" s="167" t="s">
        <v>462</v>
      </c>
      <c r="D3" s="167"/>
      <c r="E3" s="167" t="s">
        <v>462</v>
      </c>
      <c r="F3" s="167"/>
      <c r="G3" s="167" t="s">
        <v>462</v>
      </c>
      <c r="H3" s="167"/>
      <c r="I3" s="167" t="s">
        <v>449</v>
      </c>
      <c r="J3" s="167"/>
      <c r="K3" s="167">
        <v>28</v>
      </c>
      <c r="L3" s="167">
        <v>13</v>
      </c>
    </row>
    <row r="4" spans="1:12">
      <c r="B4" s="167"/>
      <c r="C4" s="167"/>
      <c r="D4" s="167"/>
      <c r="E4" s="167"/>
      <c r="F4" s="167"/>
      <c r="G4" s="167"/>
      <c r="H4" s="167"/>
      <c r="I4" s="167"/>
      <c r="J4" s="167"/>
      <c r="K4" s="167"/>
      <c r="L4" s="167"/>
    </row>
    <row r="5" spans="1:12">
      <c r="B5" s="167"/>
      <c r="C5" s="167"/>
      <c r="D5" s="167"/>
      <c r="E5" s="167"/>
      <c r="F5" s="167"/>
      <c r="G5" s="167"/>
      <c r="H5" s="167"/>
      <c r="I5" s="167"/>
      <c r="J5" s="167"/>
      <c r="K5" s="167"/>
      <c r="L5" s="167"/>
    </row>
    <row r="6" spans="1:12">
      <c r="B6" s="167"/>
      <c r="C6" s="167"/>
      <c r="D6" s="167"/>
      <c r="E6" s="167"/>
      <c r="F6" s="167"/>
      <c r="G6" s="167"/>
      <c r="H6" s="167"/>
      <c r="I6" s="167"/>
      <c r="J6" s="167"/>
      <c r="K6" s="167"/>
      <c r="L6" s="167"/>
    </row>
    <row r="7" spans="1:12">
      <c r="A7" t="s">
        <v>135</v>
      </c>
      <c r="B7" s="167">
        <v>85</v>
      </c>
      <c r="C7" s="167" t="s">
        <v>462</v>
      </c>
      <c r="D7" s="167"/>
      <c r="E7" s="167" t="s">
        <v>454</v>
      </c>
      <c r="F7" s="167"/>
      <c r="G7" s="167" t="s">
        <v>458</v>
      </c>
      <c r="H7" s="167"/>
      <c r="I7" s="167" t="s">
        <v>449</v>
      </c>
      <c r="J7" s="167"/>
      <c r="K7" s="167">
        <v>24</v>
      </c>
      <c r="L7" s="167">
        <v>12</v>
      </c>
    </row>
    <row r="8" spans="1:12">
      <c r="B8" s="167"/>
      <c r="C8" s="167"/>
      <c r="D8" s="167"/>
      <c r="E8" s="167"/>
      <c r="F8" s="167"/>
      <c r="G8" s="167"/>
      <c r="H8" s="167"/>
      <c r="I8" s="167"/>
      <c r="J8" s="167"/>
      <c r="K8" s="167"/>
      <c r="L8" s="167"/>
    </row>
    <row r="9" spans="1:12">
      <c r="B9" s="167"/>
      <c r="C9" s="167"/>
      <c r="D9" s="167"/>
      <c r="E9" s="167"/>
      <c r="F9" s="167"/>
      <c r="G9" s="167"/>
      <c r="H9" s="167"/>
      <c r="I9" s="167"/>
      <c r="J9" s="167"/>
      <c r="K9" s="167"/>
      <c r="L9" s="167"/>
    </row>
    <row r="10" spans="1:12">
      <c r="B10" s="167"/>
      <c r="C10" s="167"/>
      <c r="D10" s="167"/>
      <c r="E10" s="167"/>
      <c r="F10" s="167"/>
      <c r="G10" s="167"/>
      <c r="H10" s="167"/>
      <c r="I10" s="167"/>
      <c r="J10" s="167"/>
      <c r="K10" s="167"/>
      <c r="L10" s="167"/>
    </row>
    <row r="11" spans="1:12">
      <c r="A11" t="s">
        <v>132</v>
      </c>
      <c r="B11" s="167">
        <v>85</v>
      </c>
      <c r="C11" s="167" t="s">
        <v>462</v>
      </c>
      <c r="D11" s="167"/>
      <c r="E11" s="167" t="s">
        <v>454</v>
      </c>
      <c r="F11" s="167"/>
      <c r="G11" s="167" t="s">
        <v>450</v>
      </c>
      <c r="H11" s="167"/>
      <c r="I11" s="167" t="s">
        <v>447</v>
      </c>
      <c r="J11" s="167"/>
      <c r="K11" s="167">
        <v>20</v>
      </c>
      <c r="L11" s="167">
        <v>10</v>
      </c>
    </row>
    <row r="12" spans="1:12">
      <c r="B12" s="167"/>
      <c r="C12" s="167"/>
      <c r="D12" s="167"/>
      <c r="E12" s="167"/>
      <c r="F12" s="167"/>
      <c r="G12" s="167"/>
      <c r="H12" s="167"/>
      <c r="I12" s="167"/>
      <c r="J12" s="167"/>
      <c r="K12" s="167"/>
      <c r="L12" s="167"/>
    </row>
    <row r="13" spans="1:12">
      <c r="B13" s="167"/>
      <c r="C13" s="167"/>
      <c r="D13" s="167"/>
      <c r="E13" s="167"/>
      <c r="F13" s="167"/>
      <c r="G13" s="167"/>
      <c r="H13" s="167"/>
      <c r="I13" s="167"/>
      <c r="J13" s="167"/>
      <c r="K13" s="167"/>
      <c r="L13" s="167"/>
    </row>
    <row r="14" spans="1:12">
      <c r="B14" s="167"/>
      <c r="C14" s="167"/>
      <c r="D14" s="167"/>
      <c r="E14" s="167"/>
      <c r="F14" s="167"/>
      <c r="G14" s="167"/>
      <c r="H14" s="167"/>
      <c r="I14" s="167"/>
      <c r="J14" s="167"/>
      <c r="K14" s="167"/>
      <c r="L14" s="167"/>
    </row>
    <row r="15" spans="1:12">
      <c r="A15" t="s">
        <v>23</v>
      </c>
      <c r="B15" s="167">
        <v>82</v>
      </c>
      <c r="C15" s="167" t="s">
        <v>450</v>
      </c>
      <c r="D15" s="167"/>
      <c r="E15" s="167" t="s">
        <v>447</v>
      </c>
      <c r="F15" s="167"/>
      <c r="G15" s="167" t="s">
        <v>445</v>
      </c>
      <c r="H15" s="167"/>
      <c r="I15" s="167" t="s">
        <v>500</v>
      </c>
      <c r="J15" s="167"/>
      <c r="K15" s="167">
        <v>12</v>
      </c>
      <c r="L15" s="167">
        <v>6</v>
      </c>
    </row>
    <row r="16" spans="1:12">
      <c r="B16" s="167"/>
      <c r="C16" s="167"/>
      <c r="D16" s="167"/>
      <c r="E16" s="167"/>
      <c r="F16" s="167"/>
      <c r="G16" s="167"/>
      <c r="H16" s="167"/>
      <c r="I16" s="167"/>
      <c r="J16" s="167"/>
      <c r="K16" s="167"/>
      <c r="L16" s="167"/>
    </row>
    <row r="17" spans="2:12">
      <c r="B17" s="167"/>
      <c r="C17" s="167"/>
      <c r="D17" s="167"/>
      <c r="E17" s="167"/>
      <c r="F17" s="167"/>
      <c r="G17" s="167"/>
      <c r="H17" s="167"/>
      <c r="I17" s="167"/>
      <c r="J17" s="167"/>
      <c r="K17" s="167"/>
      <c r="L17" s="167"/>
    </row>
    <row r="18" spans="2:12">
      <c r="B18" s="167"/>
      <c r="C18" s="167"/>
      <c r="D18" s="167"/>
      <c r="E18" s="167"/>
      <c r="F18" s="167"/>
      <c r="G18" s="167"/>
      <c r="H18" s="167"/>
      <c r="I18" s="167"/>
      <c r="J18" s="167"/>
      <c r="K18" s="167"/>
      <c r="L18" s="167"/>
    </row>
    <row r="19" spans="2:12">
      <c r="B19" s="167"/>
      <c r="C19" s="167"/>
      <c r="D19" s="167"/>
      <c r="E19" s="167"/>
      <c r="F19" s="167"/>
      <c r="G19" s="167"/>
      <c r="H19" s="167"/>
      <c r="I19" s="167"/>
      <c r="J19" s="167"/>
      <c r="K19" s="167"/>
      <c r="L19" s="167"/>
    </row>
    <row r="20" spans="2:12">
      <c r="B20" s="167"/>
      <c r="C20" s="167"/>
      <c r="D20" s="167"/>
      <c r="E20" s="167"/>
      <c r="F20" s="167"/>
      <c r="G20" s="167"/>
      <c r="H20" s="167"/>
      <c r="I20" s="167"/>
      <c r="J20" s="167"/>
      <c r="K20" s="167"/>
      <c r="L20" s="167"/>
    </row>
    <row r="21" spans="2:12">
      <c r="B21" s="167"/>
      <c r="C21" s="167"/>
      <c r="D21" s="167"/>
      <c r="E21" s="167"/>
      <c r="F21" s="167"/>
      <c r="G21" s="167"/>
      <c r="H21" s="167"/>
      <c r="I21" s="167"/>
      <c r="J21" s="167"/>
      <c r="K21" s="167"/>
      <c r="L21" s="167"/>
    </row>
    <row r="22" spans="2:12">
      <c r="B22" s="167"/>
      <c r="C22" s="167"/>
      <c r="D22" s="167"/>
      <c r="E22" s="167"/>
      <c r="F22" s="167"/>
      <c r="G22" s="167"/>
      <c r="H22" s="167"/>
      <c r="I22" s="167"/>
      <c r="J22" s="167"/>
      <c r="K22" s="167"/>
      <c r="L22" s="167"/>
    </row>
    <row r="23" spans="2:12">
      <c r="B23" s="167"/>
      <c r="C23" s="167"/>
      <c r="D23" s="167"/>
      <c r="E23" s="167"/>
      <c r="F23" s="167"/>
      <c r="G23" s="167"/>
      <c r="H23" s="167"/>
      <c r="I23" s="167"/>
      <c r="J23" s="167"/>
      <c r="K23" s="167"/>
      <c r="L23" s="167"/>
    </row>
    <row r="24" spans="2:12">
      <c r="B24" s="167"/>
      <c r="C24" s="167"/>
      <c r="D24" s="167"/>
      <c r="E24" s="167"/>
      <c r="F24" s="167"/>
      <c r="G24" s="167"/>
      <c r="H24" s="167"/>
      <c r="I24" s="167"/>
      <c r="J24" s="167"/>
      <c r="K24" s="167"/>
      <c r="L24" s="167"/>
    </row>
    <row r="25" spans="2:12">
      <c r="C25" s="167"/>
      <c r="D25" s="167"/>
      <c r="E25" s="167"/>
      <c r="F25" s="167"/>
      <c r="G25" s="167"/>
      <c r="H25" s="167"/>
      <c r="I25" s="167"/>
      <c r="J25" s="167"/>
      <c r="K25" s="167"/>
      <c r="L25" s="16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A9692-3DDE-43CC-BA91-A0CACF73D148}">
  <sheetPr codeName="Feuil2">
    <tabColor rgb="FFFF0000"/>
  </sheetPr>
  <dimension ref="A1:AA83"/>
  <sheetViews>
    <sheetView topLeftCell="A46" workbookViewId="0">
      <selection activeCell="A72" sqref="A72"/>
    </sheetView>
  </sheetViews>
  <sheetFormatPr defaultColWidth="11.42578125" defaultRowHeight="15"/>
  <cols>
    <col min="1" max="1" width="19.7109375" bestFit="1" customWidth="1"/>
    <col min="2" max="2" width="4.7109375" customWidth="1"/>
    <col min="3" max="3" width="15.140625" customWidth="1"/>
  </cols>
  <sheetData>
    <row r="1" spans="1:27" ht="120" customHeight="1">
      <c r="A1" t="s">
        <v>0</v>
      </c>
      <c r="D1" s="1" t="s">
        <v>1</v>
      </c>
      <c r="E1" s="1" t="s">
        <v>2</v>
      </c>
      <c r="F1" s="1" t="s">
        <v>3</v>
      </c>
      <c r="G1" s="1" t="s">
        <v>4</v>
      </c>
      <c r="H1" s="1" t="s">
        <v>5</v>
      </c>
      <c r="I1" s="1" t="s">
        <v>6</v>
      </c>
      <c r="J1" s="1" t="s">
        <v>7</v>
      </c>
      <c r="K1" s="1" t="s">
        <v>8</v>
      </c>
      <c r="L1" s="1" t="s">
        <v>9</v>
      </c>
      <c r="M1" s="1" t="s">
        <v>10</v>
      </c>
      <c r="N1" s="1" t="s">
        <v>11</v>
      </c>
      <c r="O1" s="1" t="s">
        <v>12</v>
      </c>
      <c r="P1" s="1" t="s">
        <v>13</v>
      </c>
      <c r="Q1" s="1" t="s">
        <v>14</v>
      </c>
      <c r="R1" s="1" t="s">
        <v>15</v>
      </c>
      <c r="S1" s="1" t="s">
        <v>16</v>
      </c>
      <c r="T1" s="1" t="s">
        <v>17</v>
      </c>
      <c r="U1" s="1" t="s">
        <v>18</v>
      </c>
      <c r="V1" s="1" t="s">
        <v>19</v>
      </c>
      <c r="X1" s="1" t="s">
        <v>125</v>
      </c>
      <c r="Y1" s="1" t="s">
        <v>126</v>
      </c>
      <c r="Z1" s="1" t="s">
        <v>127</v>
      </c>
      <c r="AA1" s="1" t="s">
        <v>128</v>
      </c>
    </row>
    <row r="3" spans="1:27">
      <c r="A3" t="s">
        <v>129</v>
      </c>
      <c r="B3">
        <v>1</v>
      </c>
      <c r="C3" t="str">
        <f t="shared" ref="C3:C37" si="0">IF(B3=1,A3,"")</f>
        <v>VDICD115218</v>
      </c>
      <c r="D3" t="s">
        <v>28</v>
      </c>
      <c r="E3" t="s">
        <v>29</v>
      </c>
      <c r="F3" s="6" t="s">
        <v>30</v>
      </c>
      <c r="G3" s="7">
        <v>0.505</v>
      </c>
      <c r="H3" s="7">
        <v>0.89</v>
      </c>
      <c r="I3" s="8">
        <v>68</v>
      </c>
      <c r="J3" s="7">
        <v>4.9000000000000004</v>
      </c>
      <c r="K3" s="9">
        <v>391</v>
      </c>
      <c r="L3" s="10">
        <v>30.9</v>
      </c>
      <c r="M3" s="2">
        <v>14</v>
      </c>
      <c r="N3" s="4">
        <f t="shared" ref="N3:N37" si="1">0.000000017*SQRT(PI()^2*H3^2+M3^2)/M3/(PI()*G3^2/4/1000000)*1000</f>
        <v>86.550426209091896</v>
      </c>
      <c r="O3" s="5">
        <v>0.4</v>
      </c>
      <c r="P3" s="5">
        <v>0.6</v>
      </c>
      <c r="Q3" t="s">
        <v>29</v>
      </c>
      <c r="R3">
        <f>IF(Q3="","",VLOOKUP(Q3,'Constant list'!A$9:D$14,4,FALSE))</f>
        <v>5</v>
      </c>
      <c r="S3" s="3">
        <f t="shared" ref="S3:S37" si="2">PI()*G3^2/4*8.92*8*SQRT(1+PI()^2*H3^2/M3^2)</f>
        <v>14.575397445952326</v>
      </c>
      <c r="T3" s="3">
        <v>14.6</v>
      </c>
      <c r="U3" s="3"/>
      <c r="V3" s="3">
        <f>T3-U3</f>
        <v>14.6</v>
      </c>
    </row>
    <row r="4" spans="1:27">
      <c r="A4" t="s">
        <v>130</v>
      </c>
      <c r="B4">
        <v>1</v>
      </c>
      <c r="C4" t="str">
        <f t="shared" si="0"/>
        <v>VDICD135218</v>
      </c>
      <c r="D4" t="s">
        <v>28</v>
      </c>
      <c r="E4" t="s">
        <v>31</v>
      </c>
      <c r="F4" s="6" t="s">
        <v>30</v>
      </c>
      <c r="G4" s="7">
        <v>0.51</v>
      </c>
      <c r="H4" s="7">
        <v>1.06</v>
      </c>
      <c r="I4" s="8">
        <v>68</v>
      </c>
      <c r="J4" s="7">
        <v>6</v>
      </c>
      <c r="K4" s="9">
        <v>513</v>
      </c>
      <c r="L4" s="10">
        <v>41.2</v>
      </c>
      <c r="M4" s="2">
        <v>14</v>
      </c>
      <c r="N4" s="4">
        <f t="shared" si="1"/>
        <v>85.540085262717284</v>
      </c>
      <c r="O4" s="5">
        <v>0.2</v>
      </c>
      <c r="P4" s="5">
        <v>0.2</v>
      </c>
      <c r="Q4" t="s">
        <v>31</v>
      </c>
      <c r="R4">
        <f>IF(Q4="","",VLOOKUP(Q4,'Constant list'!A$9:D$14,4,FALSE))</f>
        <v>3</v>
      </c>
      <c r="S4" s="3">
        <f t="shared" si="2"/>
        <v>14.984286422413181</v>
      </c>
      <c r="T4" s="3">
        <v>16.600000000000001</v>
      </c>
      <c r="U4" s="3">
        <f>PI()*0.4^2/4*8.92</f>
        <v>1.1209202588008382</v>
      </c>
      <c r="V4" s="3">
        <f>T4-U4</f>
        <v>15.479079741199163</v>
      </c>
    </row>
    <row r="5" spans="1:27">
      <c r="A5" t="s">
        <v>131</v>
      </c>
      <c r="B5">
        <v>1</v>
      </c>
      <c r="C5" t="str">
        <f t="shared" si="0"/>
        <v>VDICD116218</v>
      </c>
      <c r="D5" t="s">
        <v>32</v>
      </c>
      <c r="E5" t="s">
        <v>29</v>
      </c>
      <c r="F5" s="6" t="s">
        <v>30</v>
      </c>
      <c r="G5" s="7">
        <v>0.55000000000000004</v>
      </c>
      <c r="H5" s="7">
        <v>0.97</v>
      </c>
      <c r="I5" s="8">
        <v>68</v>
      </c>
      <c r="J5" s="7">
        <v>5.9</v>
      </c>
      <c r="K5" s="9">
        <v>599</v>
      </c>
      <c r="L5" s="10">
        <v>40.9</v>
      </c>
      <c r="M5" s="2">
        <v>12</v>
      </c>
      <c r="N5" s="4">
        <f t="shared" si="1"/>
        <v>73.825109696752023</v>
      </c>
      <c r="O5" s="5">
        <v>0.4</v>
      </c>
      <c r="P5" s="5">
        <v>0.6</v>
      </c>
      <c r="Q5" t="s">
        <v>29</v>
      </c>
      <c r="R5">
        <f>IF(Q5="","",VLOOKUP(Q5,'Constant list'!A$9:D$14,4,FALSE))</f>
        <v>5</v>
      </c>
      <c r="S5" s="3">
        <f t="shared" si="2"/>
        <v>17.492043216362028</v>
      </c>
      <c r="T5" s="3">
        <v>18.2</v>
      </c>
      <c r="U5" s="3"/>
      <c r="V5" s="3">
        <f>T5-U5</f>
        <v>18.2</v>
      </c>
    </row>
    <row r="6" spans="1:27" s="114" customFormat="1">
      <c r="A6" s="134" t="s">
        <v>370</v>
      </c>
      <c r="B6" s="114">
        <v>1</v>
      </c>
      <c r="C6" s="114" t="str">
        <f t="shared" ref="C6" si="3">IF(B6=1,A6,"")</f>
        <v>VDICC116118</v>
      </c>
      <c r="D6" s="114" t="s">
        <v>32</v>
      </c>
      <c r="E6" s="114" t="s">
        <v>29</v>
      </c>
      <c r="F6" s="6" t="s">
        <v>33</v>
      </c>
      <c r="G6" s="7">
        <v>0.56499999999999995</v>
      </c>
      <c r="H6" s="135">
        <v>1</v>
      </c>
      <c r="I6" s="8">
        <v>67</v>
      </c>
      <c r="J6" s="7">
        <v>5.9</v>
      </c>
      <c r="K6" s="9">
        <v>504</v>
      </c>
      <c r="L6" s="10">
        <v>44</v>
      </c>
      <c r="M6" s="2">
        <v>12</v>
      </c>
      <c r="N6" s="4">
        <f t="shared" si="1"/>
        <v>70.090202857129995</v>
      </c>
      <c r="O6" s="5">
        <v>0.4</v>
      </c>
      <c r="P6" s="5">
        <v>0.6</v>
      </c>
      <c r="Q6" s="114" t="s">
        <v>29</v>
      </c>
      <c r="R6" s="114">
        <f>IF(Q6="","",VLOOKUP(Q6,'Constant list'!A$9:D$14,4,FALSE))</f>
        <v>5</v>
      </c>
      <c r="S6" s="3">
        <f t="shared" si="2"/>
        <v>18.494252850257766</v>
      </c>
      <c r="T6" s="3">
        <v>17.991</v>
      </c>
      <c r="U6" s="3"/>
      <c r="V6" s="3"/>
    </row>
    <row r="7" spans="1:27">
      <c r="A7" s="134" t="s">
        <v>22</v>
      </c>
      <c r="B7">
        <v>1</v>
      </c>
      <c r="C7" t="str">
        <f t="shared" si="0"/>
        <v>VDICD116018WHD</v>
      </c>
      <c r="D7" t="s">
        <v>32</v>
      </c>
      <c r="E7" t="s">
        <v>29</v>
      </c>
      <c r="F7" s="6" t="s">
        <v>33</v>
      </c>
      <c r="G7" s="7">
        <v>0.54</v>
      </c>
      <c r="H7" s="135">
        <v>0.95</v>
      </c>
      <c r="I7" s="8">
        <v>67</v>
      </c>
      <c r="J7" s="7">
        <v>5.4</v>
      </c>
      <c r="K7" s="9">
        <v>316</v>
      </c>
      <c r="L7" s="10">
        <v>36</v>
      </c>
      <c r="M7" s="2">
        <v>100</v>
      </c>
      <c r="N7" s="4">
        <f t="shared" si="1"/>
        <v>74.26169441650309</v>
      </c>
      <c r="O7" s="5">
        <v>0.4</v>
      </c>
      <c r="P7" s="5">
        <v>0.6</v>
      </c>
      <c r="Q7" t="s">
        <v>29</v>
      </c>
      <c r="R7">
        <f>IF(Q7="","",VLOOKUP(Q7,'Constant list'!A$9:D$14,4,FALSE))</f>
        <v>5</v>
      </c>
      <c r="S7" s="3">
        <f t="shared" si="2"/>
        <v>16.350294375830817</v>
      </c>
      <c r="T7" s="3">
        <v>16.36</v>
      </c>
      <c r="U7" s="3"/>
      <c r="V7" s="3"/>
    </row>
    <row r="8" spans="1:27">
      <c r="A8" s="134" t="s">
        <v>23</v>
      </c>
      <c r="B8">
        <v>0</v>
      </c>
      <c r="C8" t="str">
        <f t="shared" si="0"/>
        <v/>
      </c>
      <c r="D8" t="s">
        <v>32</v>
      </c>
      <c r="E8" t="s">
        <v>29</v>
      </c>
      <c r="F8" t="s">
        <v>33</v>
      </c>
      <c r="G8" s="7">
        <v>0.54</v>
      </c>
      <c r="H8" s="135">
        <v>0.95</v>
      </c>
      <c r="I8" s="8">
        <v>66</v>
      </c>
      <c r="J8" s="7">
        <v>5.4</v>
      </c>
      <c r="K8" s="9">
        <v>316</v>
      </c>
      <c r="L8" s="10">
        <v>36</v>
      </c>
      <c r="M8" s="2">
        <v>12</v>
      </c>
      <c r="N8" s="4">
        <f t="shared" si="1"/>
        <v>76.489955752799958</v>
      </c>
      <c r="O8" s="5">
        <v>0.4</v>
      </c>
      <c r="P8" s="5">
        <v>0.6</v>
      </c>
      <c r="Q8" t="s">
        <v>29</v>
      </c>
      <c r="R8">
        <f>IF(Q8="","",VLOOKUP(Q8,'Constant list'!A$9:D$14,4,FALSE))</f>
        <v>5</v>
      </c>
      <c r="S8" s="136">
        <f t="shared" si="2"/>
        <v>16.84089358826462</v>
      </c>
      <c r="T8" s="3">
        <v>16.36</v>
      </c>
      <c r="U8" s="3"/>
      <c r="V8" s="3"/>
    </row>
    <row r="9" spans="1:27">
      <c r="A9" s="11" t="s">
        <v>23</v>
      </c>
      <c r="B9">
        <v>1</v>
      </c>
      <c r="C9" t="str">
        <f t="shared" si="0"/>
        <v>VDICD116118GHD</v>
      </c>
      <c r="D9" t="s">
        <v>32</v>
      </c>
      <c r="E9" t="s">
        <v>29</v>
      </c>
      <c r="F9" s="6" t="s">
        <v>30</v>
      </c>
      <c r="G9" s="7">
        <v>0.54</v>
      </c>
      <c r="H9" s="7">
        <v>0.95</v>
      </c>
      <c r="I9" s="8">
        <v>66</v>
      </c>
      <c r="J9" s="7">
        <v>5.5</v>
      </c>
      <c r="K9" s="9"/>
      <c r="L9" s="10">
        <v>35</v>
      </c>
      <c r="M9" s="2">
        <v>12</v>
      </c>
      <c r="N9" s="4">
        <f t="shared" si="1"/>
        <v>76.489955752799958</v>
      </c>
      <c r="O9" s="5">
        <v>0.4</v>
      </c>
      <c r="P9" s="5">
        <v>0.6</v>
      </c>
      <c r="Q9" t="s">
        <v>29</v>
      </c>
      <c r="R9">
        <f>IF(Q9="","",VLOOKUP(Q9,'Constant list'!A$9:D$14,4,FALSE))</f>
        <v>5</v>
      </c>
      <c r="S9" s="3">
        <f t="shared" si="2"/>
        <v>16.84089358826462</v>
      </c>
      <c r="T9" s="3"/>
      <c r="U9" s="3"/>
      <c r="V9" s="3"/>
    </row>
    <row r="10" spans="1:27">
      <c r="A10" s="134" t="s">
        <v>24</v>
      </c>
      <c r="B10">
        <v>1</v>
      </c>
      <c r="C10" t="str">
        <f t="shared" si="0"/>
        <v>VDICD416118</v>
      </c>
      <c r="D10" t="s">
        <v>32</v>
      </c>
      <c r="E10" t="s">
        <v>29</v>
      </c>
      <c r="F10" s="6" t="s">
        <v>33</v>
      </c>
      <c r="G10" s="7">
        <v>0.54</v>
      </c>
      <c r="H10" s="135">
        <v>0.95</v>
      </c>
      <c r="I10" s="8">
        <v>66</v>
      </c>
      <c r="J10" s="7">
        <v>5.4</v>
      </c>
      <c r="K10" s="9">
        <v>316</v>
      </c>
      <c r="L10" s="10">
        <v>36</v>
      </c>
      <c r="M10" s="2">
        <v>12</v>
      </c>
      <c r="N10" s="4">
        <f t="shared" si="1"/>
        <v>76.489955752799958</v>
      </c>
      <c r="O10" s="5">
        <v>0.4</v>
      </c>
      <c r="P10" s="5">
        <v>0.6</v>
      </c>
      <c r="Q10" t="s">
        <v>29</v>
      </c>
      <c r="R10">
        <f>IF(Q10="","",VLOOKUP(Q10,'Constant list'!A$9:D$14,4,FALSE))</f>
        <v>5</v>
      </c>
      <c r="S10" s="3">
        <f t="shared" si="2"/>
        <v>16.84089358826462</v>
      </c>
      <c r="T10" s="3">
        <v>16.36</v>
      </c>
      <c r="U10" s="3"/>
      <c r="V10" s="3"/>
    </row>
    <row r="11" spans="1:27">
      <c r="A11" t="s">
        <v>132</v>
      </c>
      <c r="B11">
        <v>1</v>
      </c>
      <c r="C11" t="str">
        <f t="shared" si="0"/>
        <v>VDICD136218</v>
      </c>
      <c r="D11" t="s">
        <v>32</v>
      </c>
      <c r="E11" t="s">
        <v>31</v>
      </c>
      <c r="F11" s="6" t="s">
        <v>30</v>
      </c>
      <c r="G11" s="7">
        <v>0.54</v>
      </c>
      <c r="H11" s="7">
        <v>1.1299999999999999</v>
      </c>
      <c r="I11" s="8">
        <v>68</v>
      </c>
      <c r="J11" s="7">
        <v>7.1</v>
      </c>
      <c r="K11" s="9">
        <v>821</v>
      </c>
      <c r="L11" s="10">
        <v>49</v>
      </c>
      <c r="M11" s="2">
        <v>12</v>
      </c>
      <c r="N11" s="4">
        <f t="shared" si="1"/>
        <v>77.408671978670824</v>
      </c>
      <c r="O11" s="5">
        <v>0.2</v>
      </c>
      <c r="P11" s="5">
        <v>0.2</v>
      </c>
      <c r="Q11" t="s">
        <v>31</v>
      </c>
      <c r="R11">
        <f>IF(Q11="","",VLOOKUP(Q11,'Constant list'!A$9:D$14,4,FALSE))</f>
        <v>3</v>
      </c>
      <c r="S11" s="3">
        <f t="shared" si="2"/>
        <v>17.043168541170932</v>
      </c>
      <c r="T11" s="3">
        <v>18.399999999999999</v>
      </c>
      <c r="U11" s="3">
        <f>PI()*0.4^2/4*8.92</f>
        <v>1.1209202588008382</v>
      </c>
      <c r="V11" s="3">
        <f>T11-U11</f>
        <v>17.279079741199162</v>
      </c>
    </row>
    <row r="12" spans="1:27">
      <c r="A12" s="114" t="s">
        <v>25</v>
      </c>
      <c r="B12">
        <v>1</v>
      </c>
      <c r="C12" t="str">
        <f t="shared" si="0"/>
        <v>VDICD176218</v>
      </c>
      <c r="D12" t="s">
        <v>32</v>
      </c>
      <c r="E12" t="s">
        <v>34</v>
      </c>
      <c r="F12" s="6" t="s">
        <v>33</v>
      </c>
      <c r="G12" s="12">
        <v>0.54500000000000004</v>
      </c>
      <c r="H12" s="12">
        <v>1.1599999999999999</v>
      </c>
      <c r="I12" s="13">
        <v>66</v>
      </c>
      <c r="J12" s="14">
        <v>7.4</v>
      </c>
      <c r="K12" s="15"/>
      <c r="L12" s="16"/>
      <c r="M12" s="2">
        <v>12</v>
      </c>
      <c r="N12" s="4">
        <f t="shared" si="1"/>
        <v>76.159184449796257</v>
      </c>
      <c r="O12" s="5">
        <v>0.2</v>
      </c>
      <c r="P12" s="5">
        <v>0.2</v>
      </c>
      <c r="Q12" t="s">
        <v>35</v>
      </c>
      <c r="R12">
        <f>IF(Q12="","",VLOOKUP(Q12,'Constant list'!A$9:D$14,4,FALSE))</f>
        <v>2.8</v>
      </c>
      <c r="S12" s="3">
        <f t="shared" si="2"/>
        <v>17.397785681614987</v>
      </c>
      <c r="T12" s="3"/>
      <c r="U12" s="3"/>
      <c r="V12" s="3"/>
    </row>
    <row r="13" spans="1:27">
      <c r="A13" s="134" t="s">
        <v>133</v>
      </c>
      <c r="B13">
        <v>1</v>
      </c>
      <c r="C13" t="str">
        <f t="shared" si="0"/>
        <v>VDICD626218</v>
      </c>
      <c r="D13" t="s">
        <v>32</v>
      </c>
      <c r="E13" t="s">
        <v>36</v>
      </c>
      <c r="F13" s="6" t="s">
        <v>33</v>
      </c>
      <c r="G13" s="12">
        <v>0.55000000000000004</v>
      </c>
      <c r="H13" s="12">
        <v>1.38</v>
      </c>
      <c r="I13" s="13">
        <v>75</v>
      </c>
      <c r="J13" s="14">
        <v>6.9</v>
      </c>
      <c r="K13" s="15">
        <v>496</v>
      </c>
      <c r="L13" s="16">
        <v>48</v>
      </c>
      <c r="M13" s="2">
        <v>12</v>
      </c>
      <c r="N13" s="4">
        <f t="shared" si="1"/>
        <v>76.080585444574339</v>
      </c>
      <c r="O13" s="5">
        <v>0.2</v>
      </c>
      <c r="P13" s="5">
        <v>0.2</v>
      </c>
      <c r="Q13" t="s">
        <v>36</v>
      </c>
      <c r="R13">
        <f>IF(Q13="","",VLOOKUP(Q13,'Constant list'!A$9:D$14,4,FALSE))</f>
        <v>2.9</v>
      </c>
      <c r="S13" s="3">
        <f t="shared" si="2"/>
        <v>18.026453248618306</v>
      </c>
      <c r="T13" s="3">
        <v>18.484999999999999</v>
      </c>
      <c r="U13" s="3">
        <f>PI()*0.4^2/4*8.92</f>
        <v>1.1209202588008382</v>
      </c>
      <c r="V13" s="3"/>
    </row>
    <row r="14" spans="1:27">
      <c r="A14" t="s">
        <v>133</v>
      </c>
      <c r="B14">
        <v>0</v>
      </c>
      <c r="C14" t="str">
        <f t="shared" si="0"/>
        <v/>
      </c>
      <c r="D14" t="s">
        <v>32</v>
      </c>
      <c r="E14" t="s">
        <v>36</v>
      </c>
      <c r="F14" t="s">
        <v>30</v>
      </c>
      <c r="G14" s="7">
        <v>0.56499999999999995</v>
      </c>
      <c r="H14" s="7">
        <v>1.3</v>
      </c>
      <c r="I14" s="8">
        <v>80</v>
      </c>
      <c r="J14" s="7">
        <v>7.1</v>
      </c>
      <c r="K14" s="9">
        <v>525</v>
      </c>
      <c r="L14" s="10">
        <v>48</v>
      </c>
      <c r="M14" s="2">
        <v>12</v>
      </c>
      <c r="N14" s="4">
        <f t="shared" si="1"/>
        <v>71.624451930241619</v>
      </c>
      <c r="O14" s="5">
        <v>0.2</v>
      </c>
      <c r="P14" s="5">
        <v>0.2</v>
      </c>
      <c r="Q14" t="s">
        <v>36</v>
      </c>
      <c r="R14">
        <f>IF(Q14="","",VLOOKUP(Q14,'Constant list'!A$9:D$14,4,FALSE))</f>
        <v>2.9</v>
      </c>
      <c r="S14" s="3">
        <f t="shared" si="2"/>
        <v>18.899085325222039</v>
      </c>
      <c r="T14" s="3"/>
      <c r="U14" s="3"/>
      <c r="V14" s="3"/>
    </row>
    <row r="15" spans="1:27">
      <c r="A15" t="s">
        <v>26</v>
      </c>
      <c r="B15">
        <v>0</v>
      </c>
      <c r="C15" t="str">
        <f t="shared" si="0"/>
        <v/>
      </c>
      <c r="D15" t="s">
        <v>37</v>
      </c>
      <c r="E15" t="s">
        <v>29</v>
      </c>
      <c r="F15" t="s">
        <v>33</v>
      </c>
      <c r="G15" s="12">
        <v>0.56000000000000005</v>
      </c>
      <c r="H15" s="12">
        <v>1.18</v>
      </c>
      <c r="I15" s="13">
        <v>66</v>
      </c>
      <c r="J15" s="12">
        <v>7.55</v>
      </c>
      <c r="K15" s="15"/>
      <c r="L15" s="16">
        <v>60</v>
      </c>
      <c r="M15" s="2">
        <v>8</v>
      </c>
      <c r="N15" s="4">
        <f t="shared" si="1"/>
        <v>76.071516602365023</v>
      </c>
      <c r="O15" s="5">
        <v>0.2</v>
      </c>
      <c r="P15" s="5">
        <v>0.2</v>
      </c>
      <c r="Q15" t="s">
        <v>31</v>
      </c>
      <c r="R15">
        <f>IF(Q15="","",VLOOKUP(Q15,'Constant list'!A$9:D$14,4,FALSE))</f>
        <v>3</v>
      </c>
      <c r="S15" s="3">
        <f t="shared" si="2"/>
        <v>19.371348992864466</v>
      </c>
      <c r="T15" s="3"/>
      <c r="U15" s="3"/>
      <c r="V15" s="3"/>
    </row>
    <row r="16" spans="1:27">
      <c r="A16" t="s">
        <v>26</v>
      </c>
      <c r="B16">
        <v>1</v>
      </c>
      <c r="C16" t="str">
        <f t="shared" si="0"/>
        <v>VDICD60X218</v>
      </c>
      <c r="D16" t="s">
        <v>37</v>
      </c>
      <c r="E16" t="s">
        <v>29</v>
      </c>
      <c r="F16" s="6" t="s">
        <v>33</v>
      </c>
      <c r="G16" s="12">
        <v>0.56499999999999995</v>
      </c>
      <c r="H16" s="12">
        <v>1.18</v>
      </c>
      <c r="I16" s="13">
        <v>66</v>
      </c>
      <c r="J16" s="12">
        <v>7.7</v>
      </c>
      <c r="K16" s="15">
        <v>585</v>
      </c>
      <c r="L16" s="16">
        <v>60</v>
      </c>
      <c r="M16" s="2">
        <v>8</v>
      </c>
      <c r="N16" s="4">
        <f t="shared" si="1"/>
        <v>74.73107559402203</v>
      </c>
      <c r="O16" s="5">
        <v>0.2</v>
      </c>
      <c r="P16" s="5">
        <v>0.2</v>
      </c>
      <c r="Q16" t="s">
        <v>31</v>
      </c>
      <c r="R16">
        <f>IF(Q16="","",VLOOKUP(Q16,'Constant list'!A$9:D$14,4,FALSE))</f>
        <v>3</v>
      </c>
      <c r="S16" s="3">
        <f t="shared" si="2"/>
        <v>19.718810211247312</v>
      </c>
      <c r="T16" s="3"/>
      <c r="U16" s="3"/>
      <c r="V16" s="3"/>
    </row>
    <row r="17" spans="1:22">
      <c r="A17" t="s">
        <v>134</v>
      </c>
      <c r="B17">
        <v>1</v>
      </c>
      <c r="C17" t="str">
        <f t="shared" si="0"/>
        <v>VDICD13X218</v>
      </c>
      <c r="D17" t="s">
        <v>37</v>
      </c>
      <c r="E17" t="s">
        <v>31</v>
      </c>
      <c r="F17" s="6" t="s">
        <v>30</v>
      </c>
      <c r="G17" s="7">
        <v>0.56499999999999995</v>
      </c>
      <c r="H17" s="7">
        <v>1.18</v>
      </c>
      <c r="I17" s="8">
        <v>68</v>
      </c>
      <c r="J17" s="7">
        <v>7.5</v>
      </c>
      <c r="K17" s="9">
        <v>861</v>
      </c>
      <c r="L17" s="10">
        <v>50</v>
      </c>
      <c r="M17" s="2">
        <v>8</v>
      </c>
      <c r="N17" s="4">
        <f t="shared" si="1"/>
        <v>74.73107559402203</v>
      </c>
      <c r="O17" s="5">
        <v>0.2</v>
      </c>
      <c r="P17" s="5">
        <v>0.2</v>
      </c>
      <c r="Q17" t="s">
        <v>31</v>
      </c>
      <c r="R17">
        <f>IF(Q17="","",VLOOKUP(Q17,'Constant list'!A$9:D$14,4,FALSE))</f>
        <v>3</v>
      </c>
      <c r="S17" s="3">
        <f t="shared" si="2"/>
        <v>19.718810211247312</v>
      </c>
      <c r="T17" s="3"/>
      <c r="U17" s="3"/>
      <c r="V17" s="3"/>
    </row>
    <row r="18" spans="1:22">
      <c r="A18" t="s">
        <v>135</v>
      </c>
      <c r="B18">
        <v>1</v>
      </c>
      <c r="C18" t="str">
        <f t="shared" si="0"/>
        <v>VDICD63X218</v>
      </c>
      <c r="D18" t="s">
        <v>37</v>
      </c>
      <c r="E18" t="s">
        <v>31</v>
      </c>
      <c r="F18" s="6" t="s">
        <v>30</v>
      </c>
      <c r="G18" s="7">
        <v>0.56499999999999995</v>
      </c>
      <c r="H18" s="7">
        <v>1.18</v>
      </c>
      <c r="I18" s="8">
        <v>68</v>
      </c>
      <c r="J18" s="7">
        <v>7.5</v>
      </c>
      <c r="K18" s="9">
        <v>861</v>
      </c>
      <c r="L18" s="10">
        <v>50</v>
      </c>
      <c r="M18" s="2">
        <v>8</v>
      </c>
      <c r="N18" s="4">
        <f t="shared" si="1"/>
        <v>74.73107559402203</v>
      </c>
      <c r="O18" s="5">
        <v>0.2</v>
      </c>
      <c r="P18" s="5">
        <v>0.2</v>
      </c>
      <c r="Q18" t="s">
        <v>31</v>
      </c>
      <c r="R18">
        <f>IF(Q18="","",VLOOKUP(Q18,'Constant list'!A$9:D$14,4,FALSE))</f>
        <v>3</v>
      </c>
      <c r="S18" s="3">
        <f t="shared" si="2"/>
        <v>19.718810211247312</v>
      </c>
      <c r="T18" s="3"/>
      <c r="U18" s="3"/>
      <c r="V18" s="3"/>
    </row>
    <row r="19" spans="1:22">
      <c r="A19" t="s">
        <v>136</v>
      </c>
      <c r="B19">
        <v>1</v>
      </c>
      <c r="C19" t="str">
        <f t="shared" si="0"/>
        <v>VDICD62X218</v>
      </c>
      <c r="D19" t="s">
        <v>37</v>
      </c>
      <c r="E19" t="s">
        <v>36</v>
      </c>
      <c r="F19" s="6" t="s">
        <v>33</v>
      </c>
      <c r="G19" s="12">
        <v>0.56000000000000005</v>
      </c>
      <c r="H19" s="12">
        <v>1.38</v>
      </c>
      <c r="I19" s="13">
        <v>76</v>
      </c>
      <c r="J19" s="14">
        <v>7.7</v>
      </c>
      <c r="K19" s="15"/>
      <c r="L19" s="16"/>
      <c r="M19" s="2">
        <v>12</v>
      </c>
      <c r="N19" s="4">
        <f t="shared" si="1"/>
        <v>73.387682069463452</v>
      </c>
      <c r="O19" s="5">
        <v>0.2</v>
      </c>
      <c r="P19" s="5">
        <v>0.2</v>
      </c>
      <c r="Q19" t="s">
        <v>36</v>
      </c>
      <c r="R19">
        <f>IF(Q19="","",VLOOKUP(Q19,'Constant list'!A$9:D$14,4,FALSE))</f>
        <v>2.9</v>
      </c>
      <c r="S19" s="3">
        <f t="shared" si="2"/>
        <v>18.687919797575869</v>
      </c>
      <c r="T19" s="3"/>
      <c r="U19" s="3"/>
      <c r="V19" s="3"/>
    </row>
    <row r="20" spans="1:22">
      <c r="A20" t="s">
        <v>136</v>
      </c>
      <c r="B20">
        <v>0</v>
      </c>
      <c r="C20" t="str">
        <f t="shared" si="0"/>
        <v/>
      </c>
      <c r="D20" t="s">
        <v>37</v>
      </c>
      <c r="E20" t="s">
        <v>36</v>
      </c>
      <c r="F20" t="s">
        <v>30</v>
      </c>
      <c r="G20" s="7">
        <v>0.56499999999999995</v>
      </c>
      <c r="H20" s="7">
        <v>1.3</v>
      </c>
      <c r="I20" s="8">
        <v>80</v>
      </c>
      <c r="J20" s="17">
        <v>7.1</v>
      </c>
      <c r="K20" s="9">
        <v>525</v>
      </c>
      <c r="L20" s="10">
        <v>48</v>
      </c>
      <c r="M20" s="2">
        <v>12</v>
      </c>
      <c r="N20" s="4">
        <f t="shared" si="1"/>
        <v>71.624451930241619</v>
      </c>
      <c r="O20" s="5">
        <v>0.2</v>
      </c>
      <c r="P20" s="5">
        <v>0.2</v>
      </c>
      <c r="Q20" t="s">
        <v>36</v>
      </c>
      <c r="R20">
        <f>IF(Q20="","",VLOOKUP(Q20,'Constant list'!A$9:D$14,4,FALSE))</f>
        <v>2.9</v>
      </c>
      <c r="S20" s="3">
        <f t="shared" si="2"/>
        <v>18.899085325222039</v>
      </c>
      <c r="T20" s="3"/>
      <c r="U20" s="3"/>
      <c r="V20" s="3"/>
    </row>
    <row r="21" spans="1:22">
      <c r="A21" t="s">
        <v>137</v>
      </c>
      <c r="B21">
        <v>0</v>
      </c>
      <c r="C21" t="str">
        <f t="shared" si="0"/>
        <v/>
      </c>
      <c r="D21" t="s">
        <v>37</v>
      </c>
      <c r="E21" t="s">
        <v>38</v>
      </c>
      <c r="F21" t="s">
        <v>33</v>
      </c>
      <c r="G21" s="12">
        <v>0.56000000000000005</v>
      </c>
      <c r="H21" s="12">
        <v>1.38</v>
      </c>
      <c r="I21" s="13">
        <v>76</v>
      </c>
      <c r="J21" s="14">
        <v>7.8</v>
      </c>
      <c r="K21" s="15"/>
      <c r="L21" s="16"/>
      <c r="M21" s="2">
        <v>12</v>
      </c>
      <c r="N21" s="4">
        <f t="shared" si="1"/>
        <v>73.387682069463452</v>
      </c>
      <c r="O21" s="5">
        <v>0.2</v>
      </c>
      <c r="P21" s="5">
        <v>0.2</v>
      </c>
      <c r="Q21" t="s">
        <v>38</v>
      </c>
      <c r="R21">
        <f>IF(Q21="","",VLOOKUP(Q21,'Constant list'!A$9:D$14,4,FALSE))</f>
        <v>2.85</v>
      </c>
      <c r="S21" s="3">
        <f t="shared" si="2"/>
        <v>18.687919797575869</v>
      </c>
      <c r="T21" s="3"/>
      <c r="U21" s="3"/>
      <c r="V21" s="3"/>
    </row>
    <row r="22" spans="1:22">
      <c r="A22" t="s">
        <v>137</v>
      </c>
      <c r="B22">
        <v>1</v>
      </c>
      <c r="C22" t="str">
        <f t="shared" si="0"/>
        <v>VDICD64X218</v>
      </c>
      <c r="D22" t="s">
        <v>37</v>
      </c>
      <c r="E22" t="s">
        <v>38</v>
      </c>
      <c r="F22" t="s">
        <v>30</v>
      </c>
      <c r="G22" s="7">
        <v>0.56499999999999995</v>
      </c>
      <c r="H22" s="7">
        <v>1.3</v>
      </c>
      <c r="I22" s="8">
        <v>82</v>
      </c>
      <c r="J22" s="17">
        <v>7.5</v>
      </c>
      <c r="K22" s="9">
        <v>525</v>
      </c>
      <c r="L22" s="10">
        <v>48</v>
      </c>
      <c r="M22" s="2">
        <v>12</v>
      </c>
      <c r="N22" s="4">
        <f t="shared" si="1"/>
        <v>71.624451930241619</v>
      </c>
      <c r="O22" s="5">
        <v>0.2</v>
      </c>
      <c r="P22" s="5">
        <v>0.2</v>
      </c>
      <c r="Q22" t="s">
        <v>38</v>
      </c>
      <c r="R22">
        <f>IF(Q22="","",VLOOKUP(Q22,'Constant list'!A$9:D$14,4,FALSE))</f>
        <v>2.85</v>
      </c>
      <c r="S22" s="3">
        <f t="shared" si="2"/>
        <v>18.899085325222039</v>
      </c>
      <c r="T22" s="3"/>
      <c r="U22" s="3"/>
      <c r="V22" s="3"/>
    </row>
    <row r="23" spans="1:22">
      <c r="A23" t="s">
        <v>138</v>
      </c>
      <c r="B23">
        <v>0</v>
      </c>
      <c r="C23" t="str">
        <f t="shared" si="0"/>
        <v/>
      </c>
      <c r="D23" t="s">
        <v>37</v>
      </c>
      <c r="E23" t="s">
        <v>38</v>
      </c>
      <c r="F23" t="s">
        <v>33</v>
      </c>
      <c r="G23" s="12">
        <v>0.56000000000000005</v>
      </c>
      <c r="H23" s="12">
        <v>1.38</v>
      </c>
      <c r="I23" s="13">
        <v>76</v>
      </c>
      <c r="J23" s="12">
        <v>8.1999999999999993</v>
      </c>
      <c r="K23" s="15">
        <v>806</v>
      </c>
      <c r="L23" s="16">
        <v>76</v>
      </c>
      <c r="M23" s="2">
        <v>12</v>
      </c>
      <c r="N23" s="4">
        <f t="shared" si="1"/>
        <v>73.387682069463452</v>
      </c>
      <c r="O23" s="5">
        <v>0.2</v>
      </c>
      <c r="P23" s="5">
        <v>0.2</v>
      </c>
      <c r="Q23" t="s">
        <v>38</v>
      </c>
      <c r="R23">
        <f>IF(Q23="","",VLOOKUP(Q23,'Constant list'!A$9:D$14,4,FALSE))</f>
        <v>2.85</v>
      </c>
      <c r="S23" s="3">
        <f t="shared" si="2"/>
        <v>18.687919797575869</v>
      </c>
      <c r="T23" s="3"/>
      <c r="U23" s="3"/>
      <c r="V23" s="3"/>
    </row>
    <row r="24" spans="1:22">
      <c r="A24" t="s">
        <v>138</v>
      </c>
      <c r="B24">
        <v>1</v>
      </c>
      <c r="C24" t="str">
        <f t="shared" si="0"/>
        <v>VDICC64X218</v>
      </c>
      <c r="D24" t="s">
        <v>37</v>
      </c>
      <c r="E24" t="s">
        <v>38</v>
      </c>
      <c r="F24" t="s">
        <v>30</v>
      </c>
      <c r="G24" s="7">
        <v>0.56499999999999995</v>
      </c>
      <c r="H24" s="7">
        <v>1.3</v>
      </c>
      <c r="I24" s="8">
        <v>80</v>
      </c>
      <c r="J24" s="18">
        <v>7.8</v>
      </c>
      <c r="K24" s="9"/>
      <c r="L24" s="10">
        <v>51</v>
      </c>
      <c r="M24" s="2">
        <v>12</v>
      </c>
      <c r="N24" s="4">
        <f t="shared" si="1"/>
        <v>71.624451930241619</v>
      </c>
      <c r="O24" s="5">
        <v>0.2</v>
      </c>
      <c r="P24" s="5">
        <v>0.2</v>
      </c>
      <c r="Q24" t="s">
        <v>38</v>
      </c>
      <c r="R24">
        <f>IF(Q24="","",VLOOKUP(Q24,'Constant list'!A$9:D$14,4,FALSE))</f>
        <v>2.85</v>
      </c>
      <c r="S24" s="3">
        <f t="shared" si="2"/>
        <v>18.899085325222039</v>
      </c>
      <c r="T24" s="3">
        <v>19.84</v>
      </c>
      <c r="U24" s="3"/>
      <c r="V24" s="3"/>
    </row>
    <row r="25" spans="1:22">
      <c r="A25" t="s">
        <v>139</v>
      </c>
      <c r="B25">
        <v>1</v>
      </c>
      <c r="C25" t="str">
        <f t="shared" si="0"/>
        <v>VDICD68X218</v>
      </c>
      <c r="D25" t="s">
        <v>37</v>
      </c>
      <c r="E25" t="s">
        <v>35</v>
      </c>
      <c r="F25" s="6" t="s">
        <v>30</v>
      </c>
      <c r="G25" s="7">
        <v>0.56499999999999995</v>
      </c>
      <c r="H25" s="7">
        <v>1.3</v>
      </c>
      <c r="I25" s="8">
        <v>82</v>
      </c>
      <c r="J25" s="7">
        <v>7.7</v>
      </c>
      <c r="K25" s="9">
        <v>595</v>
      </c>
      <c r="L25" s="10">
        <v>54</v>
      </c>
      <c r="M25" s="2">
        <v>12</v>
      </c>
      <c r="N25" s="4">
        <f t="shared" si="1"/>
        <v>71.624451930241619</v>
      </c>
      <c r="O25" s="5">
        <v>0.2</v>
      </c>
      <c r="P25" s="5">
        <v>0.2</v>
      </c>
      <c r="Q25" t="s">
        <v>35</v>
      </c>
      <c r="R25">
        <f>IF(Q25="","",VLOOKUP(Q25,'Constant list'!A$9:D$14,4,FALSE))</f>
        <v>2.8</v>
      </c>
      <c r="S25" s="3">
        <f t="shared" si="2"/>
        <v>18.899085325222039</v>
      </c>
      <c r="T25" s="3"/>
      <c r="U25" s="3"/>
      <c r="V25" s="3"/>
    </row>
    <row r="26" spans="1:22">
      <c r="A26" t="s">
        <v>140</v>
      </c>
      <c r="B26">
        <v>1</v>
      </c>
      <c r="C26" t="str">
        <f t="shared" si="0"/>
        <v>VDICC68X218</v>
      </c>
      <c r="D26" t="s">
        <v>37</v>
      </c>
      <c r="E26" t="s">
        <v>35</v>
      </c>
      <c r="F26" s="6" t="s">
        <v>30</v>
      </c>
      <c r="G26" s="7">
        <v>0.56499999999999995</v>
      </c>
      <c r="H26" s="7">
        <v>1.3</v>
      </c>
      <c r="I26" s="8">
        <v>82</v>
      </c>
      <c r="J26" s="7">
        <v>8.1</v>
      </c>
      <c r="K26" s="9">
        <v>765</v>
      </c>
      <c r="L26" s="10">
        <v>63</v>
      </c>
      <c r="M26" s="2">
        <v>12</v>
      </c>
      <c r="N26" s="4">
        <f t="shared" si="1"/>
        <v>71.624451930241619</v>
      </c>
      <c r="O26" s="5">
        <v>0.2</v>
      </c>
      <c r="P26" s="5">
        <v>0.2</v>
      </c>
      <c r="Q26" t="s">
        <v>35</v>
      </c>
      <c r="R26">
        <f>IF(Q26="","",VLOOKUP(Q26,'Constant list'!A$9:D$14,4,FALSE))</f>
        <v>2.8</v>
      </c>
      <c r="S26" s="3">
        <f t="shared" si="2"/>
        <v>18.899085325222039</v>
      </c>
      <c r="T26" s="3"/>
      <c r="U26" s="3"/>
      <c r="V26" s="3"/>
    </row>
    <row r="27" spans="1:22">
      <c r="A27" t="s">
        <v>27</v>
      </c>
      <c r="B27">
        <v>1</v>
      </c>
      <c r="C27" t="str">
        <f t="shared" si="0"/>
        <v>VDICD687218</v>
      </c>
      <c r="D27" t="s">
        <v>39</v>
      </c>
      <c r="E27" t="s">
        <v>35</v>
      </c>
      <c r="F27" s="6" t="s">
        <v>30</v>
      </c>
      <c r="G27" s="7">
        <v>0.56499999999999995</v>
      </c>
      <c r="H27" s="7">
        <v>1.3</v>
      </c>
      <c r="I27" s="8">
        <v>82</v>
      </c>
      <c r="J27" s="7">
        <v>7.7</v>
      </c>
      <c r="K27" s="9">
        <v>595</v>
      </c>
      <c r="L27" s="10">
        <v>54</v>
      </c>
      <c r="M27" s="2">
        <v>12</v>
      </c>
      <c r="N27" s="4">
        <f t="shared" si="1"/>
        <v>71.624451930241619</v>
      </c>
      <c r="O27" s="5">
        <v>0.2</v>
      </c>
      <c r="P27" s="5">
        <v>0.2</v>
      </c>
      <c r="Q27" t="s">
        <v>35</v>
      </c>
      <c r="R27">
        <f>IF(Q27="","",VLOOKUP(Q27,'Constant list'!A$9:D$14,4,FALSE))</f>
        <v>2.8</v>
      </c>
      <c r="S27" s="3">
        <f t="shared" si="2"/>
        <v>18.899085325222039</v>
      </c>
      <c r="T27" s="3"/>
      <c r="U27" s="3"/>
      <c r="V27" s="3"/>
    </row>
    <row r="28" spans="1:22">
      <c r="A28" t="s">
        <v>141</v>
      </c>
      <c r="B28">
        <v>0</v>
      </c>
      <c r="C28" t="str">
        <f t="shared" si="0"/>
        <v/>
      </c>
      <c r="D28" t="s">
        <v>40</v>
      </c>
      <c r="E28" t="s">
        <v>38</v>
      </c>
      <c r="F28" t="s">
        <v>33</v>
      </c>
      <c r="G28" s="12">
        <v>0.57999999999999996</v>
      </c>
      <c r="H28" s="12">
        <v>1.4</v>
      </c>
      <c r="I28" s="13">
        <v>76</v>
      </c>
      <c r="J28" s="14">
        <v>8</v>
      </c>
      <c r="K28" s="15"/>
      <c r="L28" s="16"/>
      <c r="M28" s="2">
        <v>12</v>
      </c>
      <c r="N28" s="4">
        <f t="shared" si="1"/>
        <v>68.528932162003812</v>
      </c>
      <c r="O28" s="5">
        <v>0.2</v>
      </c>
      <c r="P28" s="5">
        <v>0.2</v>
      </c>
      <c r="Q28" t="s">
        <v>38</v>
      </c>
      <c r="R28">
        <f>IF(Q28="","",VLOOKUP(Q28,'Constant list'!A$9:D$14,4,FALSE))</f>
        <v>2.85</v>
      </c>
      <c r="S28" s="3">
        <f t="shared" si="2"/>
        <v>20.080365871155305</v>
      </c>
      <c r="T28" s="3"/>
      <c r="U28" s="3"/>
      <c r="V28" s="3"/>
    </row>
    <row r="29" spans="1:22">
      <c r="A29" t="s">
        <v>141</v>
      </c>
      <c r="B29">
        <v>1</v>
      </c>
      <c r="C29" t="str">
        <f t="shared" si="0"/>
        <v>VDICD648218</v>
      </c>
      <c r="D29" t="s">
        <v>40</v>
      </c>
      <c r="E29" t="s">
        <v>38</v>
      </c>
      <c r="F29" s="6" t="s">
        <v>30</v>
      </c>
      <c r="G29" s="7">
        <v>0.57499999999999996</v>
      </c>
      <c r="H29" s="7">
        <v>1.3</v>
      </c>
      <c r="I29" s="8">
        <v>80</v>
      </c>
      <c r="J29" s="7">
        <v>7.5</v>
      </c>
      <c r="K29" s="9">
        <v>597</v>
      </c>
      <c r="L29" s="19">
        <v>57</v>
      </c>
      <c r="M29" s="2">
        <v>12</v>
      </c>
      <c r="N29" s="4">
        <f t="shared" si="1"/>
        <v>69.154829996011728</v>
      </c>
      <c r="O29" s="5">
        <v>0.2</v>
      </c>
      <c r="P29" s="5">
        <v>0.2</v>
      </c>
      <c r="Q29" t="s">
        <v>38</v>
      </c>
      <c r="R29">
        <f>IF(Q29="","",VLOOKUP(Q29,'Constant list'!A$9:D$14,4,FALSE))</f>
        <v>2.85</v>
      </c>
      <c r="S29" s="3">
        <f t="shared" si="2"/>
        <v>19.573999798422861</v>
      </c>
      <c r="T29" s="3">
        <v>22.1</v>
      </c>
      <c r="U29" s="3"/>
      <c r="V29" s="3"/>
    </row>
    <row r="30" spans="1:22">
      <c r="A30" t="s">
        <v>142</v>
      </c>
      <c r="B30">
        <v>0</v>
      </c>
      <c r="C30" t="str">
        <f t="shared" si="0"/>
        <v/>
      </c>
      <c r="D30" t="s">
        <v>40</v>
      </c>
      <c r="E30" t="s">
        <v>38</v>
      </c>
      <c r="F30" t="s">
        <v>33</v>
      </c>
      <c r="G30" s="12">
        <v>0.57999999999999996</v>
      </c>
      <c r="H30" s="12">
        <v>1.46</v>
      </c>
      <c r="I30" s="13">
        <v>76</v>
      </c>
      <c r="J30" s="12">
        <v>8.4</v>
      </c>
      <c r="K30" s="15">
        <v>525</v>
      </c>
      <c r="L30" s="16">
        <v>80</v>
      </c>
      <c r="M30" s="2">
        <v>12</v>
      </c>
      <c r="N30" s="4">
        <f t="shared" si="1"/>
        <v>68.883284495555813</v>
      </c>
      <c r="O30" s="5">
        <v>0.2</v>
      </c>
      <c r="P30" s="5">
        <v>0.2</v>
      </c>
      <c r="Q30" t="s">
        <v>38</v>
      </c>
      <c r="R30">
        <f>IF(Q30="","",VLOOKUP(Q30,'Constant list'!A$9:D$14,4,FALSE))</f>
        <v>2.85</v>
      </c>
      <c r="S30" s="3">
        <f t="shared" si="2"/>
        <v>20.184198285881987</v>
      </c>
      <c r="T30" s="3"/>
      <c r="U30" s="3"/>
      <c r="V30" s="3"/>
    </row>
    <row r="31" spans="1:22">
      <c r="A31" t="s">
        <v>142</v>
      </c>
      <c r="B31">
        <v>1</v>
      </c>
      <c r="C31" t="str">
        <f t="shared" si="0"/>
        <v>VDICC648218</v>
      </c>
      <c r="D31" t="s">
        <v>40</v>
      </c>
      <c r="E31" t="s">
        <v>38</v>
      </c>
      <c r="F31" s="6" t="s">
        <v>30</v>
      </c>
      <c r="G31" s="7">
        <v>0.57499999999999996</v>
      </c>
      <c r="H31" s="7">
        <v>1.3</v>
      </c>
      <c r="I31" s="8">
        <v>80</v>
      </c>
      <c r="J31" s="18">
        <v>7.9</v>
      </c>
      <c r="K31" s="9"/>
      <c r="L31" s="19">
        <v>58</v>
      </c>
      <c r="M31" s="2">
        <v>12</v>
      </c>
      <c r="N31" s="4">
        <f t="shared" si="1"/>
        <v>69.154829996011728</v>
      </c>
      <c r="O31" s="5">
        <v>0.2</v>
      </c>
      <c r="P31" s="5">
        <v>0.2</v>
      </c>
      <c r="Q31" t="s">
        <v>38</v>
      </c>
      <c r="R31">
        <f>IF(Q31="","",VLOOKUP(Q31,'Constant list'!A$9:D$14,4,FALSE))</f>
        <v>2.85</v>
      </c>
      <c r="S31" s="3">
        <f t="shared" si="2"/>
        <v>19.573999798422861</v>
      </c>
      <c r="T31" s="3">
        <v>22.1</v>
      </c>
      <c r="U31" s="3"/>
      <c r="V31" s="3"/>
    </row>
    <row r="32" spans="1:22">
      <c r="A32" t="s">
        <v>143</v>
      </c>
      <c r="B32">
        <v>1</v>
      </c>
      <c r="C32" t="str">
        <f t="shared" si="0"/>
        <v>VDICD658218</v>
      </c>
      <c r="D32" t="s">
        <v>40</v>
      </c>
      <c r="E32" t="s">
        <v>41</v>
      </c>
      <c r="F32" s="6" t="s">
        <v>30</v>
      </c>
      <c r="G32" s="7">
        <v>0.57499999999999996</v>
      </c>
      <c r="H32" s="7">
        <v>1.3</v>
      </c>
      <c r="I32" s="8">
        <v>80</v>
      </c>
      <c r="J32" s="7">
        <v>7.6</v>
      </c>
      <c r="K32" s="9">
        <v>566</v>
      </c>
      <c r="L32" s="10">
        <v>59</v>
      </c>
      <c r="M32" s="2">
        <v>12</v>
      </c>
      <c r="N32" s="4">
        <f t="shared" si="1"/>
        <v>69.154829996011728</v>
      </c>
      <c r="O32" s="5">
        <v>0.2</v>
      </c>
      <c r="P32" s="5">
        <v>0.2</v>
      </c>
      <c r="Q32" t="s">
        <v>41</v>
      </c>
      <c r="R32">
        <f>IF(Q32="","",VLOOKUP(Q32,'Constant list'!A$9:D$14,4,FALSE))</f>
        <v>2.75</v>
      </c>
      <c r="S32" s="3">
        <f t="shared" si="2"/>
        <v>19.573999798422861</v>
      </c>
      <c r="T32" s="3"/>
      <c r="U32" s="3"/>
      <c r="V32" s="3"/>
    </row>
    <row r="33" spans="1:22">
      <c r="A33" t="s">
        <v>144</v>
      </c>
      <c r="B33">
        <v>1</v>
      </c>
      <c r="C33" t="str">
        <f t="shared" si="0"/>
        <v>VDICC658218</v>
      </c>
      <c r="D33" t="s">
        <v>40</v>
      </c>
      <c r="E33" t="s">
        <v>41</v>
      </c>
      <c r="F33" s="6" t="s">
        <v>30</v>
      </c>
      <c r="G33" s="7">
        <v>0.57499999999999996</v>
      </c>
      <c r="H33" s="7">
        <v>1.3</v>
      </c>
      <c r="I33" s="8">
        <v>80</v>
      </c>
      <c r="J33" s="7">
        <v>8</v>
      </c>
      <c r="K33" s="9">
        <v>766</v>
      </c>
      <c r="L33" s="10">
        <v>71</v>
      </c>
      <c r="M33" s="2">
        <v>12</v>
      </c>
      <c r="N33" s="4">
        <f t="shared" si="1"/>
        <v>69.154829996011728</v>
      </c>
      <c r="O33" s="5">
        <v>0.2</v>
      </c>
      <c r="P33" s="5">
        <v>0.2</v>
      </c>
      <c r="Q33" t="s">
        <v>41</v>
      </c>
      <c r="R33">
        <f>IF(Q33="","",VLOOKUP(Q33,'Constant list'!A$9:D$14,4,FALSE))</f>
        <v>2.75</v>
      </c>
      <c r="S33" s="3">
        <f t="shared" si="2"/>
        <v>19.573999798422861</v>
      </c>
      <c r="T33" s="3">
        <v>23.4</v>
      </c>
      <c r="U33" s="3"/>
      <c r="V33" s="3"/>
    </row>
    <row r="34" spans="1:22">
      <c r="A34" t="s">
        <v>42</v>
      </c>
      <c r="B34">
        <v>1</v>
      </c>
      <c r="C34" t="str">
        <f t="shared" si="0"/>
        <v>ACTTG4P6ASCM3RBU</v>
      </c>
      <c r="D34" t="s">
        <v>37</v>
      </c>
      <c r="E34" t="s">
        <v>31</v>
      </c>
      <c r="G34" s="7">
        <v>0.56499999999999995</v>
      </c>
      <c r="H34" s="7">
        <v>1.1499999999999999</v>
      </c>
      <c r="J34" s="7">
        <v>7.3</v>
      </c>
      <c r="M34" s="2">
        <v>8</v>
      </c>
      <c r="N34" s="4">
        <f t="shared" si="1"/>
        <v>74.398755417281947</v>
      </c>
      <c r="O34" s="5">
        <v>0.2</v>
      </c>
      <c r="P34" s="5">
        <v>0.2</v>
      </c>
      <c r="Q34" t="s">
        <v>31</v>
      </c>
      <c r="R34">
        <f>IF(Q34="","",VLOOKUP(Q34,'Constant list'!A$9:D$14,4,FALSE))</f>
        <v>3</v>
      </c>
      <c r="S34" s="3">
        <f t="shared" si="2"/>
        <v>19.631123014958245</v>
      </c>
      <c r="T34" s="3"/>
      <c r="U34" s="3"/>
      <c r="V34" s="3"/>
    </row>
    <row r="35" spans="1:22">
      <c r="A35" t="s">
        <v>43</v>
      </c>
      <c r="B35">
        <v>1</v>
      </c>
      <c r="C35" t="str">
        <f t="shared" si="0"/>
        <v>ACTTG4P6ASLS3RWE</v>
      </c>
      <c r="D35" t="s">
        <v>37</v>
      </c>
      <c r="E35" t="s">
        <v>31</v>
      </c>
      <c r="G35" s="7">
        <v>0.56499999999999995</v>
      </c>
      <c r="H35" s="7">
        <v>1.1499999999999999</v>
      </c>
      <c r="J35" s="7">
        <v>7.3</v>
      </c>
      <c r="M35" s="2">
        <v>8</v>
      </c>
      <c r="N35" s="4">
        <f t="shared" si="1"/>
        <v>74.398755417281947</v>
      </c>
      <c r="O35" s="5">
        <v>0.2</v>
      </c>
      <c r="P35" s="5">
        <v>0.2</v>
      </c>
      <c r="Q35" t="s">
        <v>31</v>
      </c>
      <c r="R35">
        <f>IF(Q35="","",VLOOKUP(Q35,'Constant list'!A$9:D$14,4,FALSE))</f>
        <v>3</v>
      </c>
      <c r="S35" s="3">
        <f t="shared" si="2"/>
        <v>19.631123014958245</v>
      </c>
      <c r="T35" s="3"/>
      <c r="U35" s="3"/>
      <c r="V35" s="3"/>
    </row>
    <row r="36" spans="1:22">
      <c r="A36" t="s">
        <v>44</v>
      </c>
      <c r="B36">
        <v>1</v>
      </c>
      <c r="C36" t="str">
        <f t="shared" si="0"/>
        <v>ACT4P6UCM3RBBU</v>
      </c>
      <c r="D36" t="s">
        <v>32</v>
      </c>
      <c r="E36" t="s">
        <v>29</v>
      </c>
      <c r="G36" s="7">
        <v>0.56499999999999995</v>
      </c>
      <c r="H36" s="7">
        <v>1.04</v>
      </c>
      <c r="J36" s="7">
        <v>6</v>
      </c>
      <c r="M36" s="2">
        <v>12</v>
      </c>
      <c r="N36" s="4">
        <f t="shared" si="1"/>
        <v>70.273390941696604</v>
      </c>
      <c r="O36" s="5">
        <v>0.4</v>
      </c>
      <c r="P36" s="5">
        <v>0.6</v>
      </c>
      <c r="Q36" t="s">
        <v>29</v>
      </c>
      <c r="R36">
        <f>IF(Q36="","",VLOOKUP(Q36,'Constant list'!A$9:D$14,4,FALSE))</f>
        <v>5</v>
      </c>
      <c r="S36" s="3">
        <f t="shared" si="2"/>
        <v>18.542589516682245</v>
      </c>
      <c r="T36" s="3"/>
      <c r="U36" s="3"/>
      <c r="V36" s="3"/>
    </row>
    <row r="37" spans="1:22">
      <c r="A37" t="s">
        <v>45</v>
      </c>
      <c r="B37">
        <v>1</v>
      </c>
      <c r="C37" t="str">
        <f t="shared" si="0"/>
        <v>ACT4P6ULS3RBWE</v>
      </c>
      <c r="D37" t="s">
        <v>32</v>
      </c>
      <c r="E37" t="s">
        <v>29</v>
      </c>
      <c r="G37" s="7">
        <v>0.56499999999999995</v>
      </c>
      <c r="H37" s="7">
        <v>1.04</v>
      </c>
      <c r="J37" s="7">
        <v>6</v>
      </c>
      <c r="M37" s="2">
        <v>12</v>
      </c>
      <c r="N37" s="4">
        <f t="shared" si="1"/>
        <v>70.273390941696604</v>
      </c>
      <c r="O37" s="5">
        <v>0.4</v>
      </c>
      <c r="P37" s="5">
        <v>0.6</v>
      </c>
      <c r="Q37" t="s">
        <v>29</v>
      </c>
      <c r="R37">
        <f>IF(Q37="","",VLOOKUP(Q37,'Constant list'!A$9:D$14,4,FALSE))</f>
        <v>5</v>
      </c>
      <c r="S37" s="3">
        <f t="shared" si="2"/>
        <v>18.542589516682245</v>
      </c>
      <c r="T37" s="3"/>
      <c r="U37" s="3"/>
      <c r="V37" s="3"/>
    </row>
    <row r="38" spans="1:22">
      <c r="G38" s="7"/>
      <c r="H38" s="7"/>
      <c r="I38" s="20"/>
      <c r="J38" s="7"/>
      <c r="M38" s="2"/>
      <c r="N38" s="4"/>
      <c r="O38" s="5"/>
      <c r="P38" s="5"/>
      <c r="S38" s="3"/>
    </row>
    <row r="41" spans="1:22">
      <c r="A41" s="11"/>
    </row>
    <row r="42" spans="1:22">
      <c r="A42" s="11" t="s">
        <v>177</v>
      </c>
      <c r="B42">
        <v>1</v>
      </c>
      <c r="C42" t="str">
        <f t="shared" ref="C42:C47" si="4">IF(B42=1,A42,"")</f>
        <v>AWG26/7_Cat.5e UTP</v>
      </c>
      <c r="E42" t="s">
        <v>29</v>
      </c>
      <c r="G42" s="7">
        <v>0.35</v>
      </c>
      <c r="H42" s="7">
        <v>0.93</v>
      </c>
      <c r="J42" s="7">
        <v>4.5</v>
      </c>
      <c r="M42" s="2">
        <v>8</v>
      </c>
      <c r="N42" s="4">
        <f t="shared" ref="N42:N44" si="5">0.000000017*SQRT(PI()^2*H42^2+M42^2)/M42/(PI()*G42^2/4/1000000)*1000</f>
        <v>188.10936908618834</v>
      </c>
      <c r="O42" s="5">
        <v>0.4</v>
      </c>
      <c r="P42" s="5">
        <v>0.6</v>
      </c>
      <c r="Q42" t="s">
        <v>29</v>
      </c>
      <c r="R42">
        <f>IF(Q42="","",VLOOKUP(Q42,'Constant list'!A$9:D$14,4,FALSE))</f>
        <v>5</v>
      </c>
      <c r="S42" s="3">
        <f t="shared" ref="S42:S47" si="6">PI()*G42^2/4*8.92*8*SQRT(1+PI()^2*H42^2/M42^2)</f>
        <v>7.3091737685616458</v>
      </c>
    </row>
    <row r="43" spans="1:22">
      <c r="A43" s="11" t="s">
        <v>178</v>
      </c>
      <c r="B43">
        <v>1</v>
      </c>
      <c r="C43" t="str">
        <f t="shared" si="4"/>
        <v>AWG26/7_Cat.5e FTP</v>
      </c>
      <c r="E43" t="s">
        <v>31</v>
      </c>
      <c r="G43" s="7">
        <v>0.35</v>
      </c>
      <c r="H43" s="7">
        <v>0.93</v>
      </c>
      <c r="J43" s="7">
        <v>5.5</v>
      </c>
      <c r="M43" s="2">
        <v>8</v>
      </c>
      <c r="N43" s="4">
        <f t="shared" si="5"/>
        <v>188.10936908618834</v>
      </c>
      <c r="O43" s="5">
        <v>0.2</v>
      </c>
      <c r="P43" s="5">
        <v>0.2</v>
      </c>
      <c r="Q43" t="s">
        <v>31</v>
      </c>
      <c r="R43">
        <f>IF(Q43="","",VLOOKUP(Q43,'Constant list'!A$9:D$14,4,FALSE))</f>
        <v>3</v>
      </c>
      <c r="S43" s="3">
        <f t="shared" si="6"/>
        <v>7.3091737685616458</v>
      </c>
    </row>
    <row r="44" spans="1:22">
      <c r="A44" s="11" t="s">
        <v>179</v>
      </c>
      <c r="B44">
        <v>1</v>
      </c>
      <c r="C44" t="str">
        <f t="shared" si="4"/>
        <v>AWG26/7_Cat.6 UTP</v>
      </c>
      <c r="E44" t="s">
        <v>29</v>
      </c>
      <c r="G44" s="7">
        <v>0.38</v>
      </c>
      <c r="H44" s="7">
        <v>0.96</v>
      </c>
      <c r="J44" s="7">
        <v>5</v>
      </c>
      <c r="M44" s="2">
        <v>8</v>
      </c>
      <c r="N44" s="4">
        <f t="shared" si="5"/>
        <v>160.19470353166753</v>
      </c>
      <c r="O44" s="5">
        <v>0.4</v>
      </c>
      <c r="P44" s="5">
        <v>0.6</v>
      </c>
      <c r="Q44" t="s">
        <v>29</v>
      </c>
      <c r="R44">
        <f>IF(Q44="","",VLOOKUP(Q44,'Constant list'!A$9:D$14,4,FALSE))</f>
        <v>5</v>
      </c>
      <c r="S44" s="3">
        <f t="shared" si="6"/>
        <v>8.6490463050622601</v>
      </c>
    </row>
    <row r="45" spans="1:22">
      <c r="A45" t="s">
        <v>180</v>
      </c>
      <c r="B45">
        <v>1</v>
      </c>
      <c r="C45" t="str">
        <f t="shared" si="4"/>
        <v>AWG26/7_Cat.6 FTP</v>
      </c>
      <c r="E45" t="s">
        <v>31</v>
      </c>
      <c r="G45" s="7">
        <v>0.38</v>
      </c>
      <c r="H45" s="7">
        <v>0.96</v>
      </c>
      <c r="J45" s="7">
        <v>6</v>
      </c>
      <c r="M45" s="2">
        <v>8</v>
      </c>
      <c r="N45" s="4">
        <f t="shared" ref="N45" si="7">0.000000017*SQRT(PI()^2*H45^2+M45^2)/M45/(PI()*G45^2/4/1000000)*1000</f>
        <v>160.19470353166753</v>
      </c>
      <c r="O45" s="5">
        <v>0.2</v>
      </c>
      <c r="P45" s="5">
        <v>0.2</v>
      </c>
      <c r="Q45" t="s">
        <v>31</v>
      </c>
      <c r="R45">
        <f>IF(Q45="","",VLOOKUP(Q45,'Constant list'!A$9:D$14,4,FALSE))</f>
        <v>3</v>
      </c>
      <c r="S45" s="3">
        <f t="shared" si="6"/>
        <v>8.6490463050622601</v>
      </c>
    </row>
    <row r="46" spans="1:22">
      <c r="A46" t="s">
        <v>181</v>
      </c>
      <c r="B46">
        <v>1</v>
      </c>
      <c r="C46" t="str">
        <f t="shared" si="4"/>
        <v>AWG26/7_Cat.6A UTP</v>
      </c>
      <c r="E46" t="s">
        <v>41</v>
      </c>
      <c r="G46" s="7">
        <v>0.4</v>
      </c>
      <c r="H46" s="7">
        <v>0.98</v>
      </c>
      <c r="J46" s="7">
        <v>6</v>
      </c>
      <c r="M46" s="2">
        <v>12</v>
      </c>
      <c r="N46" s="4">
        <f t="shared" ref="N46" si="8">0.000000017*SQRT(PI()^2*H46^2+M46^2)/M46/(PI()*G46^2/4/1000000)*1000</f>
        <v>139.66319199479526</v>
      </c>
      <c r="O46" s="5">
        <v>0.2</v>
      </c>
      <c r="P46" s="5">
        <v>0.2</v>
      </c>
      <c r="Q46" t="s">
        <v>41</v>
      </c>
      <c r="R46">
        <f>IF(Q46="","",VLOOKUP(Q46,'Constant list'!A$9:D$14,4,FALSE))</f>
        <v>2.75</v>
      </c>
      <c r="S46" s="3">
        <f t="shared" si="6"/>
        <v>9.2577961058542027</v>
      </c>
    </row>
    <row r="47" spans="1:22">
      <c r="A47" t="s">
        <v>182</v>
      </c>
      <c r="B47">
        <v>1</v>
      </c>
      <c r="C47" t="str">
        <f t="shared" si="4"/>
        <v>AWG26/7_Cat.6A STP</v>
      </c>
      <c r="E47" t="s">
        <v>41</v>
      </c>
      <c r="G47" s="7">
        <v>0.4</v>
      </c>
      <c r="H47" s="7">
        <v>0.98</v>
      </c>
      <c r="J47" s="7">
        <v>6</v>
      </c>
      <c r="M47" s="2">
        <v>12</v>
      </c>
      <c r="N47" s="4">
        <f t="shared" ref="N47" si="9">0.000000017*SQRT(PI()^2*H47^2+M47^2)/M47/(PI()*G47^2/4/1000000)*1000</f>
        <v>139.66319199479526</v>
      </c>
      <c r="O47" s="5">
        <v>0.2</v>
      </c>
      <c r="P47" s="5">
        <v>0.2</v>
      </c>
      <c r="Q47" t="s">
        <v>41</v>
      </c>
      <c r="R47">
        <f>IF(Q47="","",VLOOKUP(Q47,'Constant list'!A$9:D$14,4,FALSE))</f>
        <v>2.75</v>
      </c>
      <c r="S47" s="3">
        <f t="shared" si="6"/>
        <v>9.2577961058542027</v>
      </c>
    </row>
    <row r="48" spans="1:22">
      <c r="A48" t="s">
        <v>297</v>
      </c>
      <c r="B48">
        <v>1</v>
      </c>
      <c r="C48" t="str">
        <f t="shared" ref="C48:C50" si="10">IF(B48=1,A48,"")</f>
        <v>AWG28/7_Cat.6 UTP</v>
      </c>
      <c r="D48" t="s">
        <v>32</v>
      </c>
      <c r="E48" t="s">
        <v>29</v>
      </c>
      <c r="G48" s="7">
        <v>0.32</v>
      </c>
      <c r="H48" s="7">
        <v>0.85</v>
      </c>
      <c r="I48" s="20"/>
      <c r="J48" s="7">
        <v>3.8</v>
      </c>
      <c r="M48" s="2">
        <v>8</v>
      </c>
      <c r="N48" s="4">
        <f t="shared" ref="N48:N49" si="11">0.000000017*SQRT(PI()^2*H48^2+M48^2)/M48/(PI()*G48^2/4/1000000)*1000</f>
        <v>222.8424424868067</v>
      </c>
      <c r="O48" s="5">
        <v>0.4</v>
      </c>
      <c r="P48" s="5">
        <v>0.6</v>
      </c>
      <c r="Q48" t="s">
        <v>29</v>
      </c>
      <c r="R48">
        <f>IF(Q48="","",VLOOKUP(Q48,'Constant list'!A$9:D$14,4,FALSE))</f>
        <v>5</v>
      </c>
      <c r="S48" s="3">
        <f t="shared" ref="S48:S49" si="12">PI()*G48^2/4*8.92*8*SQRT(1+PI()^2*H48^2/M48^2)</f>
        <v>6.0503918995713235</v>
      </c>
    </row>
    <row r="49" spans="1:19">
      <c r="A49" t="s">
        <v>298</v>
      </c>
      <c r="B49">
        <v>1</v>
      </c>
      <c r="C49" t="str">
        <f t="shared" ref="C49" si="13">IF(B49=1,A49,"")</f>
        <v>AWG28/7_Cat.6 FTP</v>
      </c>
      <c r="D49" t="s">
        <v>32</v>
      </c>
      <c r="E49" t="s">
        <v>31</v>
      </c>
      <c r="G49" s="7">
        <v>0.32</v>
      </c>
      <c r="H49" s="7">
        <v>0.85</v>
      </c>
      <c r="J49" s="7">
        <v>5.2</v>
      </c>
      <c r="M49" s="2">
        <v>8</v>
      </c>
      <c r="N49" s="4">
        <f t="shared" si="11"/>
        <v>222.8424424868067</v>
      </c>
      <c r="O49" s="5">
        <v>0.2</v>
      </c>
      <c r="P49" s="5">
        <v>0.2</v>
      </c>
      <c r="Q49" t="s">
        <v>31</v>
      </c>
      <c r="R49">
        <f>IF(Q49="","",VLOOKUP(Q49,'Constant list'!A$9:D$14,4,FALSE))</f>
        <v>3</v>
      </c>
      <c r="S49" s="3">
        <f t="shared" si="12"/>
        <v>6.0503918995713235</v>
      </c>
    </row>
    <row r="50" spans="1:19">
      <c r="A50" t="s">
        <v>299</v>
      </c>
      <c r="B50">
        <v>1</v>
      </c>
      <c r="C50" t="str">
        <f t="shared" si="10"/>
        <v>AWG28/7_Cat.6A STP</v>
      </c>
      <c r="D50" t="s">
        <v>37</v>
      </c>
      <c r="E50" t="s">
        <v>41</v>
      </c>
      <c r="G50" s="7">
        <v>0.32</v>
      </c>
      <c r="H50" s="7">
        <v>0.85</v>
      </c>
      <c r="J50" s="7">
        <v>5.5</v>
      </c>
      <c r="M50" s="2">
        <v>8</v>
      </c>
      <c r="N50" s="4">
        <f t="shared" ref="N50" si="14">0.000000017*SQRT(PI()^2*H50^2+M50^2)/M50/(PI()*G50^2/4/1000000)*1000</f>
        <v>222.8424424868067</v>
      </c>
      <c r="O50" s="5">
        <v>0.2</v>
      </c>
      <c r="P50" s="5">
        <v>0.2</v>
      </c>
      <c r="Q50" t="s">
        <v>41</v>
      </c>
      <c r="R50">
        <f>IF(Q50="","",VLOOKUP(Q50,'Constant list'!A$9:D$14,4,FALSE))</f>
        <v>2.75</v>
      </c>
      <c r="S50" s="3">
        <f t="shared" ref="S50" si="15">PI()*G50^2/4*8.92*8*SQRT(1+PI()^2*H50^2/M50^2)</f>
        <v>6.0503918995713235</v>
      </c>
    </row>
    <row r="54" spans="1:19">
      <c r="A54" t="s">
        <v>46</v>
      </c>
      <c r="B54" t="s">
        <v>47</v>
      </c>
    </row>
    <row r="55" spans="1:19">
      <c r="A55" t="s">
        <v>48</v>
      </c>
      <c r="B55" t="s">
        <v>49</v>
      </c>
    </row>
    <row r="56" spans="1:19">
      <c r="A56" t="s">
        <v>50</v>
      </c>
      <c r="B56" t="s">
        <v>51</v>
      </c>
    </row>
    <row r="57" spans="1:19">
      <c r="A57" t="s">
        <v>27</v>
      </c>
      <c r="B57" t="s">
        <v>52</v>
      </c>
    </row>
    <row r="58" spans="1:19">
      <c r="A58" t="s">
        <v>53</v>
      </c>
      <c r="B58" t="s">
        <v>54</v>
      </c>
    </row>
    <row r="60" spans="1:19">
      <c r="A60" t="s">
        <v>55</v>
      </c>
      <c r="B60" t="s">
        <v>56</v>
      </c>
    </row>
    <row r="61" spans="1:19">
      <c r="A61" t="s">
        <v>57</v>
      </c>
      <c r="B61" t="s">
        <v>58</v>
      </c>
    </row>
    <row r="62" spans="1:19">
      <c r="A62" t="s">
        <v>59</v>
      </c>
      <c r="B62" t="s">
        <v>60</v>
      </c>
    </row>
    <row r="63" spans="1:19">
      <c r="A63" t="s">
        <v>61</v>
      </c>
      <c r="B63" t="s">
        <v>62</v>
      </c>
    </row>
    <row r="65" spans="1:4">
      <c r="A65" t="s">
        <v>46</v>
      </c>
      <c r="B65" t="s">
        <v>47</v>
      </c>
    </row>
    <row r="66" spans="1:4">
      <c r="A66" t="s">
        <v>48</v>
      </c>
      <c r="B66" t="s">
        <v>49</v>
      </c>
    </row>
    <row r="67" spans="1:4">
      <c r="A67" t="s">
        <v>50</v>
      </c>
      <c r="B67" t="s">
        <v>51</v>
      </c>
    </row>
    <row r="68" spans="1:4">
      <c r="A68" t="s">
        <v>27</v>
      </c>
      <c r="B68" t="s">
        <v>52</v>
      </c>
    </row>
    <row r="69" spans="1:4">
      <c r="A69" t="s">
        <v>53</v>
      </c>
      <c r="B69" t="s">
        <v>54</v>
      </c>
    </row>
    <row r="71" spans="1:4">
      <c r="A71" t="s">
        <v>57</v>
      </c>
      <c r="B71" t="s">
        <v>58</v>
      </c>
    </row>
    <row r="72" spans="1:4">
      <c r="A72" t="s">
        <v>59</v>
      </c>
      <c r="B72" t="s">
        <v>60</v>
      </c>
    </row>
    <row r="73" spans="1:4">
      <c r="A73" t="s">
        <v>61</v>
      </c>
      <c r="B73" t="s">
        <v>62</v>
      </c>
    </row>
    <row r="75" spans="1:4">
      <c r="A75" t="s">
        <v>46</v>
      </c>
      <c r="B75" t="s">
        <v>47</v>
      </c>
      <c r="C75" t="s">
        <v>63</v>
      </c>
      <c r="D75" t="s">
        <v>64</v>
      </c>
    </row>
    <row r="76" spans="1:4">
      <c r="A76" t="s">
        <v>48</v>
      </c>
      <c r="B76" t="s">
        <v>49</v>
      </c>
      <c r="C76" t="s">
        <v>65</v>
      </c>
      <c r="D76" t="s">
        <v>66</v>
      </c>
    </row>
    <row r="77" spans="1:4">
      <c r="A77" t="s">
        <v>50</v>
      </c>
      <c r="B77" t="s">
        <v>51</v>
      </c>
      <c r="C77" t="s">
        <v>65</v>
      </c>
      <c r="D77" t="s">
        <v>67</v>
      </c>
    </row>
    <row r="78" spans="1:4">
      <c r="A78" t="s">
        <v>27</v>
      </c>
      <c r="B78" t="s">
        <v>52</v>
      </c>
      <c r="C78" t="s">
        <v>63</v>
      </c>
      <c r="D78" t="s">
        <v>64</v>
      </c>
    </row>
    <row r="79" spans="1:4">
      <c r="A79" t="s">
        <v>53</v>
      </c>
      <c r="B79" t="s">
        <v>54</v>
      </c>
      <c r="C79" t="s">
        <v>63</v>
      </c>
      <c r="D79" t="s">
        <v>64</v>
      </c>
    </row>
    <row r="81" spans="1:4">
      <c r="A81" t="s">
        <v>57</v>
      </c>
      <c r="B81" t="s">
        <v>58</v>
      </c>
      <c r="C81" t="s">
        <v>65</v>
      </c>
      <c r="D81" t="s">
        <v>67</v>
      </c>
    </row>
    <row r="82" spans="1:4">
      <c r="A82" t="s">
        <v>59</v>
      </c>
      <c r="B82" t="s">
        <v>60</v>
      </c>
      <c r="C82" t="s">
        <v>65</v>
      </c>
      <c r="D82" t="s">
        <v>67</v>
      </c>
    </row>
    <row r="83" spans="1:4">
      <c r="A83" t="s">
        <v>61</v>
      </c>
      <c r="B83" t="s">
        <v>62</v>
      </c>
      <c r="C83" t="s">
        <v>65</v>
      </c>
      <c r="D83" t="s">
        <v>66</v>
      </c>
    </row>
  </sheetData>
  <dataValidations count="5">
    <dataValidation type="list" allowBlank="1" showInputMessage="1" showErrorMessage="1" sqref="D48:D50 D3:D41" xr:uid="{C20C0C7F-4C72-47C1-BA91-B8AA3B27BCFB}">
      <formula1>"Cat.5e,Cat.6,Cat.6A,Cat.7,Cat.7A"</formula1>
    </dataValidation>
    <dataValidation allowBlank="1" showInputMessage="1" showErrorMessage="1" sqref="F38:F46 F48" xr:uid="{E2CF3937-8D4C-44E0-9F43-4AB64E8EE169}"/>
    <dataValidation type="list" allowBlank="1" showInputMessage="1" showErrorMessage="1" sqref="A37" xr:uid="{91EC8D5A-18D4-453D-8812-934F232456A1}">
      <formula1>"Cat.5e,Cat.6,Cat.6A,Cat.7A"</formula1>
    </dataValidation>
    <dataValidation type="list" allowBlank="1" showInputMessage="1" showErrorMessage="1" sqref="F3:F33" xr:uid="{4B9634BC-B64C-446F-B813-6AA58373F32A}">
      <formula1>"Nexans,Prysmian"</formula1>
    </dataValidation>
    <dataValidation type="list" allowBlank="1" showInputMessage="1" showErrorMessage="1" sqref="E3:E50 Q42:Q50 Q3:Q38" xr:uid="{23BB758B-966A-446D-9BEF-BF13D1216286}">
      <formula1>"U/UTP,F/UTP,SF/UTP,U/FTP,F/FTP,XTP,S/FTP"</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E24EB-C422-4A6D-9B7E-6114CD2B82B2}">
  <sheetPr codeName="Feuil3">
    <tabColor rgb="FFFF0000"/>
  </sheetPr>
  <dimension ref="A1:G37"/>
  <sheetViews>
    <sheetView workbookViewId="0">
      <selection activeCell="A8" sqref="A8"/>
    </sheetView>
  </sheetViews>
  <sheetFormatPr defaultColWidth="11.42578125" defaultRowHeight="15"/>
  <sheetData>
    <row r="1" spans="1:4" ht="18">
      <c r="A1" t="s">
        <v>88</v>
      </c>
    </row>
    <row r="2" spans="1:4">
      <c r="A2" t="s">
        <v>89</v>
      </c>
      <c r="C2">
        <v>1</v>
      </c>
      <c r="D2">
        <v>0.15</v>
      </c>
    </row>
    <row r="3" spans="1:4">
      <c r="A3" t="s">
        <v>90</v>
      </c>
      <c r="C3">
        <v>2</v>
      </c>
      <c r="D3">
        <v>0.25</v>
      </c>
    </row>
    <row r="4" spans="1:4">
      <c r="A4" t="s">
        <v>91</v>
      </c>
      <c r="C4">
        <v>3</v>
      </c>
      <c r="D4">
        <v>0.5</v>
      </c>
    </row>
    <row r="5" spans="1:4">
      <c r="A5" t="s">
        <v>92</v>
      </c>
      <c r="C5">
        <v>4</v>
      </c>
      <c r="D5">
        <v>0.75</v>
      </c>
    </row>
    <row r="8" spans="1:4" ht="18">
      <c r="A8" t="s">
        <v>93</v>
      </c>
    </row>
    <row r="9" spans="1:4">
      <c r="A9" t="s">
        <v>29</v>
      </c>
      <c r="D9">
        <v>5</v>
      </c>
    </row>
    <row r="10" spans="1:4">
      <c r="A10" t="s">
        <v>31</v>
      </c>
      <c r="D10">
        <v>3</v>
      </c>
    </row>
    <row r="11" spans="1:4">
      <c r="A11" s="21" t="s">
        <v>36</v>
      </c>
      <c r="D11" s="21">
        <v>2.9</v>
      </c>
    </row>
    <row r="12" spans="1:4">
      <c r="A12" s="21" t="s">
        <v>38</v>
      </c>
      <c r="B12" s="21"/>
      <c r="C12" s="21"/>
      <c r="D12" s="21">
        <v>2.85</v>
      </c>
    </row>
    <row r="13" spans="1:4">
      <c r="A13" s="21" t="s">
        <v>35</v>
      </c>
      <c r="B13" s="21"/>
      <c r="C13" s="21"/>
      <c r="D13" s="21">
        <v>2.8</v>
      </c>
    </row>
    <row r="14" spans="1:4">
      <c r="A14" t="s">
        <v>41</v>
      </c>
      <c r="D14">
        <v>2.75</v>
      </c>
    </row>
    <row r="18" spans="1:7">
      <c r="A18" s="196" t="s">
        <v>94</v>
      </c>
      <c r="B18" s="196"/>
      <c r="C18" t="s">
        <v>95</v>
      </c>
      <c r="D18" t="s">
        <v>96</v>
      </c>
      <c r="E18" t="s">
        <v>97</v>
      </c>
      <c r="G18" t="s">
        <v>98</v>
      </c>
    </row>
    <row r="19" spans="1:7">
      <c r="A19">
        <v>4</v>
      </c>
      <c r="B19">
        <v>0</v>
      </c>
      <c r="C19">
        <v>0</v>
      </c>
      <c r="D19">
        <v>0.15</v>
      </c>
      <c r="E19">
        <v>0</v>
      </c>
      <c r="F19">
        <f>B19*E19</f>
        <v>0</v>
      </c>
      <c r="G19" t="s">
        <v>99</v>
      </c>
    </row>
    <row r="20" spans="1:7">
      <c r="A20">
        <v>4</v>
      </c>
      <c r="B20">
        <v>0</v>
      </c>
      <c r="C20">
        <v>0.15</v>
      </c>
      <c r="D20">
        <v>0.3</v>
      </c>
      <c r="E20">
        <v>0</v>
      </c>
      <c r="F20">
        <f t="shared" ref="F20:F22" si="0">B20*E20</f>
        <v>0</v>
      </c>
      <c r="G20" t="s">
        <v>100</v>
      </c>
    </row>
    <row r="21" spans="1:7">
      <c r="A21">
        <v>8</v>
      </c>
      <c r="B21">
        <v>1</v>
      </c>
      <c r="C21">
        <v>0</v>
      </c>
      <c r="D21">
        <v>0.3</v>
      </c>
      <c r="E21">
        <v>0</v>
      </c>
      <c r="F21">
        <f t="shared" si="0"/>
        <v>0</v>
      </c>
      <c r="G21" t="s">
        <v>101</v>
      </c>
    </row>
    <row r="22" spans="1:7">
      <c r="A22">
        <v>8</v>
      </c>
      <c r="B22">
        <v>1</v>
      </c>
      <c r="C22">
        <v>0.3</v>
      </c>
      <c r="D22">
        <v>0.5</v>
      </c>
      <c r="E22">
        <v>1</v>
      </c>
      <c r="F22">
        <f t="shared" si="0"/>
        <v>1</v>
      </c>
      <c r="G22" t="s">
        <v>102</v>
      </c>
    </row>
    <row r="23" spans="1:7">
      <c r="F23">
        <f>SUM(F19:F22)</f>
        <v>1</v>
      </c>
    </row>
    <row r="26" spans="1:7">
      <c r="A26" t="s">
        <v>103</v>
      </c>
      <c r="B26">
        <v>0</v>
      </c>
      <c r="C26" t="s">
        <v>104</v>
      </c>
      <c r="D26" t="s">
        <v>105</v>
      </c>
      <c r="E26" t="s">
        <v>106</v>
      </c>
      <c r="F26" s="196" t="s">
        <v>107</v>
      </c>
      <c r="G26" s="196"/>
    </row>
    <row r="27" spans="1:7">
      <c r="A27">
        <v>3.84</v>
      </c>
      <c r="B27">
        <f>IF(AND('Temperature in bundle'!Q$7&lt;='Constant list'!A27,'Temperature in bundle'!Q$7&gt;A26),1,0)</f>
        <v>0</v>
      </c>
      <c r="C27">
        <v>1</v>
      </c>
      <c r="D27">
        <v>44</v>
      </c>
      <c r="E27">
        <v>4</v>
      </c>
      <c r="F27">
        <v>4</v>
      </c>
      <c r="G27">
        <v>8</v>
      </c>
    </row>
    <row r="28" spans="1:7">
      <c r="A28">
        <v>6.49</v>
      </c>
      <c r="B28">
        <f>IF(AND('Temperature in bundle'!Q$7&lt;='Constant list'!A28,'Temperature in bundle'!Q$7&gt;A27),1,0)</f>
        <v>0</v>
      </c>
      <c r="C28">
        <v>2</v>
      </c>
      <c r="D28">
        <v>44</v>
      </c>
      <c r="E28">
        <v>7</v>
      </c>
      <c r="F28">
        <v>4</v>
      </c>
      <c r="G28">
        <v>8</v>
      </c>
    </row>
    <row r="29" spans="1:7">
      <c r="A29">
        <v>12.95</v>
      </c>
      <c r="B29">
        <f>IF(AND('Temperature in bundle'!Q$7&lt;='Constant list'!A29,'Temperature in bundle'!Q$7&gt;A28),1,0)</f>
        <v>0</v>
      </c>
      <c r="C29">
        <v>3</v>
      </c>
      <c r="D29">
        <v>44</v>
      </c>
      <c r="E29">
        <v>15.4</v>
      </c>
      <c r="F29">
        <v>4</v>
      </c>
      <c r="G29">
        <v>8</v>
      </c>
    </row>
    <row r="30" spans="1:7">
      <c r="A30">
        <v>25.5</v>
      </c>
      <c r="B30">
        <f>IF(AND('Temperature in bundle'!Q$7&lt;='Constant list'!A30,'Temperature in bundle'!Q$7&gt;A29),1,0)</f>
        <v>1</v>
      </c>
      <c r="C30">
        <v>4</v>
      </c>
      <c r="D30">
        <v>50</v>
      </c>
      <c r="E30">
        <v>30</v>
      </c>
      <c r="F30">
        <v>4</v>
      </c>
      <c r="G30">
        <v>8</v>
      </c>
    </row>
    <row r="31" spans="1:7">
      <c r="A31">
        <v>40</v>
      </c>
      <c r="B31">
        <f>IF(AND('Temperature in bundle'!Q$7&lt;='Constant list'!A31,'Temperature in bundle'!Q$7&gt;A30),1,0)</f>
        <v>0</v>
      </c>
      <c r="C31">
        <v>5</v>
      </c>
      <c r="D31">
        <v>50</v>
      </c>
      <c r="E31">
        <v>45</v>
      </c>
      <c r="F31">
        <v>8</v>
      </c>
    </row>
    <row r="32" spans="1:7">
      <c r="A32">
        <v>51</v>
      </c>
      <c r="B32">
        <f>IF(AND('Temperature in bundle'!Q$7&lt;='Constant list'!A32,'Temperature in bundle'!Q$7&gt;A31),1,0)</f>
        <v>0</v>
      </c>
      <c r="C32">
        <v>6</v>
      </c>
      <c r="D32">
        <v>50</v>
      </c>
      <c r="E32">
        <v>60</v>
      </c>
      <c r="F32">
        <v>8</v>
      </c>
    </row>
    <row r="33" spans="1:7">
      <c r="A33">
        <v>62</v>
      </c>
      <c r="B33">
        <f>IF(AND('Temperature in bundle'!Q$7&lt;='Constant list'!A33,'Temperature in bundle'!Q$7&gt;A32),1,0)</f>
        <v>0</v>
      </c>
      <c r="C33">
        <v>7</v>
      </c>
      <c r="D33">
        <v>52</v>
      </c>
      <c r="E33">
        <v>75</v>
      </c>
      <c r="F33">
        <v>8</v>
      </c>
    </row>
    <row r="34" spans="1:7">
      <c r="A34">
        <v>71.3</v>
      </c>
      <c r="B34">
        <f>IF(AND('Temperature in bundle'!Q$7&lt;='Constant list'!A34,'Temperature in bundle'!Q$7&gt;A33),1,0)</f>
        <v>0</v>
      </c>
      <c r="C34">
        <v>8</v>
      </c>
      <c r="D34">
        <v>52</v>
      </c>
      <c r="E34">
        <v>90</v>
      </c>
      <c r="F34">
        <v>8</v>
      </c>
    </row>
    <row r="35" spans="1:7">
      <c r="A35">
        <v>1000</v>
      </c>
      <c r="B35">
        <f>IF(AND('Temperature in bundle'!Q$7&lt;='Constant list'!A35,'Temperature in bundle'!Q$7&gt;A34),1,0)</f>
        <v>0</v>
      </c>
      <c r="C35" t="s">
        <v>108</v>
      </c>
      <c r="D35" t="s">
        <v>109</v>
      </c>
      <c r="F35">
        <v>0</v>
      </c>
      <c r="G35">
        <v>0</v>
      </c>
    </row>
    <row r="37" spans="1:7">
      <c r="E37" t="s">
        <v>110</v>
      </c>
      <c r="F37">
        <f>IF(OR(ISERROR(VLOOKUP(1,B27:G35,5,FALSE)),VLOOKUP(1,B27:G35,5,FALSE)=0),"",VLOOKUP(1,B27:G35,5,FALSE))</f>
        <v>4</v>
      </c>
      <c r="G37">
        <f>IF(OR(ISERROR(VLOOKUP(1,B27:G35,6,FALSE)),VLOOKUP(1,B27:G35,6,FALSE)=0),"",VLOOKUP(1,B27:G35,6,FALSE))</f>
        <v>8</v>
      </c>
    </row>
  </sheetData>
  <mergeCells count="2">
    <mergeCell ref="A18:B18"/>
    <mergeCell ref="F26:G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146D9-AB79-4E61-8C3E-53609E08D723}">
  <sheetPr codeName="Feuil4">
    <tabColor rgb="FFFF0000"/>
  </sheetPr>
  <dimension ref="A1:J51"/>
  <sheetViews>
    <sheetView workbookViewId="0">
      <selection activeCell="F43" sqref="F43:F48"/>
    </sheetView>
  </sheetViews>
  <sheetFormatPr defaultColWidth="11.42578125" defaultRowHeight="15"/>
  <cols>
    <col min="1" max="1" width="12.7109375" customWidth="1"/>
    <col min="2" max="3" width="15.7109375" customWidth="1"/>
    <col min="4" max="4" width="20.7109375" customWidth="1"/>
    <col min="5" max="10" width="12.7109375" customWidth="1"/>
  </cols>
  <sheetData>
    <row r="1" spans="1:9">
      <c r="A1" t="s">
        <v>86</v>
      </c>
      <c r="B1" t="s">
        <v>87</v>
      </c>
      <c r="C1" t="s">
        <v>124</v>
      </c>
      <c r="D1" t="s">
        <v>114</v>
      </c>
    </row>
    <row r="2" spans="1:9">
      <c r="A2" t="str">
        <f>'Temperature in bundle'!C18</f>
        <v>Cat.6</v>
      </c>
      <c r="B2" t="str">
        <f>'Temperature in bundle'!C19</f>
        <v>U/UTP</v>
      </c>
      <c r="C2" t="str">
        <f>'Temperature in bundle'!C20</f>
        <v>Dca</v>
      </c>
      <c r="D2" t="str">
        <f>IF(OR(B3="N/A",C2="",C3="N/A"),"","VDIC"&amp;LEFT(C2,1)&amp;VLOOKUP(A2&amp;"_"&amp;B2,D13:I32,6,FALSE))</f>
        <v>VDICD116118GHD</v>
      </c>
    </row>
    <row r="3" spans="1:9">
      <c r="B3" t="str">
        <f>IF(COUNTIF(B6:B10,B2)=0,"N/A","")</f>
        <v/>
      </c>
      <c r="C3" t="str">
        <f>IF(COUNTIF(C6:C10,C2)=0,"N/A","")</f>
        <v/>
      </c>
    </row>
    <row r="5" spans="1:9">
      <c r="A5" t="s">
        <v>70</v>
      </c>
      <c r="B5" t="s">
        <v>71</v>
      </c>
      <c r="C5" t="s">
        <v>112</v>
      </c>
    </row>
    <row r="6" spans="1:9">
      <c r="A6" t="s">
        <v>28</v>
      </c>
      <c r="B6" t="str">
        <f>IF(ISERROR(VLOOKUP(A$2&amp;"_1",A$13:B$32,2,FALSE)),"",VLOOKUP(A$2&amp;"_1",A$13:B$32,2,FALSE))</f>
        <v>U/UTP</v>
      </c>
      <c r="C6" t="str">
        <f>IF(ISERROR(VLOOKUP(A$2&amp;"_"&amp;B$2,D$13:H$32,2,FALSE)),"",IF(VLOOKUP(A$2&amp;"_"&amp;B$2,D$13:H$32,2,FALSE)="","",VLOOKUP(A$2&amp;"_"&amp;B$2,D$13:H$32,2,FALSE)))</f>
        <v>Dca</v>
      </c>
    </row>
    <row r="7" spans="1:9">
      <c r="A7" t="s">
        <v>32</v>
      </c>
      <c r="B7" t="str">
        <f>IF(ISERROR(VLOOKUP(A$2&amp;"_2",A$13:B$32,2,FALSE)),"",VLOOKUP(A$2&amp;"_2",A$13:B$32,2,FALSE))</f>
        <v>F/UTP</v>
      </c>
      <c r="C7" t="str">
        <f>IF(ISERROR(VLOOKUP(A$2&amp;"_"&amp;B$2,D$13:H$32,3,FALSE)),"",IF(VLOOKUP(A$2&amp;"_"&amp;B$2,D$13:H$32,3,FALSE)="","",VLOOKUP(A$2&amp;"_"&amp;B$2,D$13:H$32,3,FALSE)))</f>
        <v/>
      </c>
    </row>
    <row r="8" spans="1:9">
      <c r="A8" t="s">
        <v>37</v>
      </c>
      <c r="B8" t="str">
        <f>IF(ISERROR(VLOOKUP(A$2&amp;"_3",A$13:B$32,2,FALSE)),"",VLOOKUP(A$2&amp;"_3",A$13:B$32,2,FALSE))</f>
        <v>U/FTP</v>
      </c>
      <c r="C8" t="str">
        <f>IF(ISERROR(VLOOKUP(A$2&amp;"_"&amp;B$2,D$13:H$32,4,FALSE)),"",IF(VLOOKUP(A$2&amp;"_"&amp;B$2,D$13:H$32,4,FALSE)="","",VLOOKUP(A$2&amp;"_"&amp;B$2,D$13:H$32,4,FALSE)))</f>
        <v/>
      </c>
    </row>
    <row r="9" spans="1:9">
      <c r="A9" t="s">
        <v>39</v>
      </c>
      <c r="B9" t="str">
        <f>IF(ISERROR(VLOOKUP(A$2&amp;"_4",A$13:B$32,2,FALSE)),"",VLOOKUP(A$2&amp;"_4",A$13:B$32,2,FALSE))</f>
        <v>SF/UTP</v>
      </c>
      <c r="C9" t="str">
        <f>IF(ISERROR(VLOOKUP(A$2&amp;"_"&amp;B$2,D$13:H$32,5,FALSE)),"",IF(VLOOKUP(A$2&amp;"_"&amp;B$2,D$13:H$32,5,FALSE)="","",VLOOKUP(A$2&amp;"_"&amp;B$2,D$13:H$32,5,FALSE)))</f>
        <v/>
      </c>
    </row>
    <row r="10" spans="1:9">
      <c r="A10" t="s">
        <v>40</v>
      </c>
      <c r="B10" t="str">
        <f>IF(ISERROR(VLOOKUP(A$2&amp;"_5",A$13:B$32,2,FALSE)),"",VLOOKUP(A$2&amp;"_5",A$13:B$32,2,FALSE))</f>
        <v/>
      </c>
    </row>
    <row r="12" spans="1:9">
      <c r="A12" t="s">
        <v>68</v>
      </c>
      <c r="B12" t="s">
        <v>69</v>
      </c>
      <c r="E12" t="s">
        <v>115</v>
      </c>
      <c r="F12" t="s">
        <v>116</v>
      </c>
      <c r="G12" t="s">
        <v>117</v>
      </c>
      <c r="H12" t="s">
        <v>118</v>
      </c>
      <c r="I12" t="s">
        <v>114</v>
      </c>
    </row>
    <row r="13" spans="1:9">
      <c r="A13" t="s">
        <v>72</v>
      </c>
      <c r="B13" t="s">
        <v>29</v>
      </c>
      <c r="D13" t="str">
        <f t="shared" ref="D13:D26" si="0">LEFT(A13,LEN(A13)-2)&amp;"_"&amp;B13</f>
        <v>Cat.5e_U/UTP</v>
      </c>
      <c r="E13" t="s">
        <v>111</v>
      </c>
      <c r="I13" s="22">
        <v>115218</v>
      </c>
    </row>
    <row r="14" spans="1:9">
      <c r="A14" t="s">
        <v>73</v>
      </c>
      <c r="B14" t="s">
        <v>31</v>
      </c>
      <c r="D14" t="str">
        <f t="shared" si="0"/>
        <v>Cat.5e_F/UTP</v>
      </c>
      <c r="E14" t="s">
        <v>111</v>
      </c>
      <c r="I14" s="22">
        <v>135218</v>
      </c>
    </row>
    <row r="15" spans="1:9">
      <c r="A15" t="s">
        <v>74</v>
      </c>
      <c r="B15" t="s">
        <v>29</v>
      </c>
      <c r="D15" t="str">
        <f t="shared" si="0"/>
        <v>Cat.6_U/UTP</v>
      </c>
      <c r="E15" t="s">
        <v>111</v>
      </c>
      <c r="I15" s="22" t="s">
        <v>309</v>
      </c>
    </row>
    <row r="16" spans="1:9">
      <c r="A16" t="s">
        <v>75</v>
      </c>
      <c r="B16" t="s">
        <v>31</v>
      </c>
      <c r="D16" t="str">
        <f t="shared" si="0"/>
        <v>Cat.6_F/UTP</v>
      </c>
      <c r="E16" t="s">
        <v>111</v>
      </c>
      <c r="I16" s="22">
        <v>136218</v>
      </c>
    </row>
    <row r="17" spans="1:10">
      <c r="A17" t="s">
        <v>76</v>
      </c>
      <c r="B17" t="s">
        <v>36</v>
      </c>
      <c r="D17" t="str">
        <f t="shared" si="0"/>
        <v>Cat.6_U/FTP</v>
      </c>
      <c r="E17" t="s">
        <v>111</v>
      </c>
      <c r="I17" s="22">
        <v>626218</v>
      </c>
    </row>
    <row r="18" spans="1:10">
      <c r="A18" t="s">
        <v>77</v>
      </c>
      <c r="B18" t="s">
        <v>34</v>
      </c>
      <c r="D18" t="str">
        <f t="shared" si="0"/>
        <v>Cat.6_SF/UTP</v>
      </c>
      <c r="E18" t="s">
        <v>111</v>
      </c>
      <c r="I18" s="22">
        <v>176218</v>
      </c>
    </row>
    <row r="19" spans="1:10">
      <c r="A19" t="s">
        <v>78</v>
      </c>
      <c r="B19" t="s">
        <v>29</v>
      </c>
      <c r="D19" t="str">
        <f t="shared" si="0"/>
        <v>Cat.6A_U/UTP</v>
      </c>
      <c r="E19" t="s">
        <v>111</v>
      </c>
      <c r="I19" s="22" t="s">
        <v>119</v>
      </c>
    </row>
    <row r="20" spans="1:10">
      <c r="A20" t="s">
        <v>79</v>
      </c>
      <c r="B20" t="s">
        <v>31</v>
      </c>
      <c r="D20" t="str">
        <f t="shared" si="0"/>
        <v>Cat.6A_F/UTP</v>
      </c>
      <c r="E20" t="s">
        <v>111</v>
      </c>
      <c r="F20" t="s">
        <v>113</v>
      </c>
      <c r="I20" s="22" t="s">
        <v>121</v>
      </c>
    </row>
    <row r="21" spans="1:10">
      <c r="A21" t="s">
        <v>80</v>
      </c>
      <c r="B21" t="s">
        <v>36</v>
      </c>
      <c r="D21" t="str">
        <f t="shared" si="0"/>
        <v>Cat.6A_U/FTP</v>
      </c>
      <c r="E21" t="s">
        <v>111</v>
      </c>
      <c r="I21" s="22" t="s">
        <v>120</v>
      </c>
    </row>
    <row r="22" spans="1:10">
      <c r="A22" t="s">
        <v>81</v>
      </c>
      <c r="B22" t="s">
        <v>38</v>
      </c>
      <c r="D22" t="str">
        <f t="shared" si="0"/>
        <v>Cat.6A_F/FTP</v>
      </c>
      <c r="E22" t="s">
        <v>111</v>
      </c>
      <c r="F22" t="s">
        <v>113</v>
      </c>
      <c r="I22" s="22" t="s">
        <v>122</v>
      </c>
    </row>
    <row r="23" spans="1:10">
      <c r="A23" t="s">
        <v>82</v>
      </c>
      <c r="B23" t="s">
        <v>35</v>
      </c>
      <c r="D23" t="str">
        <f t="shared" si="0"/>
        <v>Cat.6A_XTP</v>
      </c>
      <c r="E23" t="s">
        <v>111</v>
      </c>
      <c r="F23" t="s">
        <v>113</v>
      </c>
      <c r="I23" s="22" t="s">
        <v>123</v>
      </c>
    </row>
    <row r="24" spans="1:10">
      <c r="A24" t="s">
        <v>85</v>
      </c>
      <c r="B24" t="s">
        <v>35</v>
      </c>
      <c r="D24" t="str">
        <f t="shared" si="0"/>
        <v>Cat.7_XTP</v>
      </c>
      <c r="E24" t="s">
        <v>111</v>
      </c>
      <c r="I24" s="22">
        <v>687218</v>
      </c>
    </row>
    <row r="25" spans="1:10">
      <c r="A25" t="s">
        <v>83</v>
      </c>
      <c r="B25" t="s">
        <v>38</v>
      </c>
      <c r="D25" t="str">
        <f t="shared" si="0"/>
        <v>Cat.7A_F/FTP</v>
      </c>
      <c r="E25" t="s">
        <v>111</v>
      </c>
      <c r="F25" t="s">
        <v>113</v>
      </c>
      <c r="I25" s="22">
        <v>648218</v>
      </c>
    </row>
    <row r="26" spans="1:10">
      <c r="A26" t="s">
        <v>84</v>
      </c>
      <c r="B26" t="s">
        <v>41</v>
      </c>
      <c r="D26" t="str">
        <f t="shared" si="0"/>
        <v>Cat.7A_S/FTP</v>
      </c>
      <c r="E26" t="s">
        <v>111</v>
      </c>
      <c r="F26" t="s">
        <v>113</v>
      </c>
      <c r="I26" s="22">
        <v>658218</v>
      </c>
    </row>
    <row r="29" spans="1:10">
      <c r="A29" t="s">
        <v>146</v>
      </c>
      <c r="G29" t="s">
        <v>147</v>
      </c>
    </row>
    <row r="30" spans="1:10">
      <c r="A30" t="s">
        <v>175</v>
      </c>
      <c r="B30" t="s">
        <v>176</v>
      </c>
      <c r="C30" t="s">
        <v>145</v>
      </c>
      <c r="D30" t="s">
        <v>114</v>
      </c>
      <c r="G30" t="s">
        <v>175</v>
      </c>
      <c r="H30" t="s">
        <v>176</v>
      </c>
      <c r="I30" t="s">
        <v>145</v>
      </c>
      <c r="J30" t="s">
        <v>114</v>
      </c>
    </row>
    <row r="31" spans="1:10">
      <c r="A31" t="str">
        <f>'Temperature in bundle'!C5</f>
        <v>AWG28/7</v>
      </c>
      <c r="B31" t="str">
        <f>'Temperature in bundle'!C6</f>
        <v>Cat.6A STP</v>
      </c>
      <c r="C31" s="23">
        <f>'Temperature in bundle'!C7</f>
        <v>2</v>
      </c>
      <c r="D31" t="str">
        <f>IF(OR(B32="N/A",C31=""),"",VLOOKUP(A31&amp;"_"&amp;B31,D43:F51,2,FALSE)&amp;IF(C31=0.5,0,"")&amp;C31*10&amp;VLOOKUP(A31&amp;"_"&amp;B31,D43:F51,3,FALSE))</f>
        <v>ACTPC6ASFLS20yy (yy = color code)</v>
      </c>
      <c r="G31" t="str">
        <f>'Temperature in bundle'!C29</f>
        <v>AWG28/7</v>
      </c>
      <c r="H31" t="str">
        <f>'Temperature in bundle'!C30</f>
        <v>Cat.6A STP</v>
      </c>
      <c r="I31" s="23">
        <f>'Temperature in bundle'!C31</f>
        <v>2</v>
      </c>
      <c r="J31" t="str">
        <f>IF(OR(H32="N/A",I31=""),"",VLOOKUP(G31&amp;"_"&amp;H31,D43:F51,2,FALSE)&amp;IF(I31=0.5,0,"")&amp;I31*10&amp;VLOOKUP(G31&amp;"_"&amp;H31,D43:F51,3,FALSE))</f>
        <v>ACTPC6ASFLS20yy (yy = color code)</v>
      </c>
    </row>
    <row r="32" spans="1:10">
      <c r="B32" t="str">
        <f>IF(COUNTIF(B35:B40,B31)=0,"N/A","")</f>
        <v/>
      </c>
      <c r="H32" t="str">
        <f>IF(COUNTIF(H35:H40,H31)=0,"N/A","")</f>
        <v/>
      </c>
    </row>
    <row r="34" spans="1:8">
      <c r="A34" t="s">
        <v>70</v>
      </c>
      <c r="B34" t="s">
        <v>71</v>
      </c>
      <c r="G34" t="s">
        <v>70</v>
      </c>
      <c r="H34" t="s">
        <v>71</v>
      </c>
    </row>
    <row r="35" spans="1:8">
      <c r="A35" t="s">
        <v>284</v>
      </c>
      <c r="B35" t="str">
        <f>IF(ISERROR(VLOOKUP(A$31&amp;"_1",A$43:B$51,2,FALSE)),"",VLOOKUP(A$31&amp;"_1",A$43:B$51,2,FALSE))</f>
        <v>Cat.6 UTP</v>
      </c>
      <c r="G35" t="s">
        <v>284</v>
      </c>
      <c r="H35" t="str">
        <f>IF(ISERROR(VLOOKUP(G$31&amp;"_1",A$43:B$51,2,FALSE)),"",VLOOKUP(G$31&amp;"_1",A$43:B$51,2,FALSE))</f>
        <v>Cat.6 UTP</v>
      </c>
    </row>
    <row r="36" spans="1:8">
      <c r="A36" t="s">
        <v>149</v>
      </c>
      <c r="B36" t="str">
        <f>IF(ISERROR(VLOOKUP(A$31&amp;"_2",A$43:B$51,2,FALSE)),"",VLOOKUP(A$31&amp;"_2",A$43:B$51,2,FALSE))</f>
        <v>Cat.6 FTP</v>
      </c>
      <c r="G36" t="s">
        <v>149</v>
      </c>
      <c r="H36" t="str">
        <f>IF(ISERROR(VLOOKUP(G$31&amp;"_2",A$43:B$51,2,FALSE)),"",VLOOKUP(G$31&amp;"_2",A$43:B$51,2,FALSE))</f>
        <v>Cat.6 FTP</v>
      </c>
    </row>
    <row r="37" spans="1:8">
      <c r="B37" t="str">
        <f>IF(ISERROR(VLOOKUP(A$31&amp;"_3",A$43:B$51,2,FALSE)),"",VLOOKUP(A$31&amp;"_3",A$43:B$51,2,FALSE))</f>
        <v>Cat.6A STP</v>
      </c>
      <c r="H37" t="str">
        <f>IF(ISERROR(VLOOKUP(G$31&amp;"_3",A$43:B$51,2,FALSE)),"",VLOOKUP(G$31&amp;"_3",A$43:B$51,2,FALSE))</f>
        <v>Cat.6A STP</v>
      </c>
    </row>
    <row r="38" spans="1:8">
      <c r="B38" t="str">
        <f>IF(ISERROR(VLOOKUP(A$31&amp;"_4",A$43:B$51,2,FALSE)),"",VLOOKUP(A$31&amp;"_4",A$43:B$51,2,FALSE))</f>
        <v/>
      </c>
      <c r="H38" t="str">
        <f>IF(ISERROR(VLOOKUP(G$31&amp;"_4",A$43:B$51,2,FALSE)),"",VLOOKUP(G$31&amp;"_4",A$43:B$51,2,FALSE))</f>
        <v/>
      </c>
    </row>
    <row r="39" spans="1:8">
      <c r="B39" t="str">
        <f>IF(ISERROR(VLOOKUP(A$31&amp;"_5",A$43:B$51,2,FALSE)),"",VLOOKUP(A$31&amp;"_5",A$43:B$51,2,FALSE))</f>
        <v/>
      </c>
      <c r="H39" t="str">
        <f>IF(ISERROR(VLOOKUP(G$31&amp;"_5",A$43:B$51,2,FALSE)),"",VLOOKUP(G$31&amp;"_5",A$43:B$51,2,FALSE))</f>
        <v/>
      </c>
    </row>
    <row r="40" spans="1:8">
      <c r="B40" t="str">
        <f>IF(ISERROR(VLOOKUP(A$31&amp;"_6",A$43:B$51,2,FALSE)),"",VLOOKUP(A$31&amp;"_6",A$43:B$51,2,FALSE))</f>
        <v/>
      </c>
      <c r="H40" t="str">
        <f>IF(ISERROR(VLOOKUP(G$31&amp;"_6",A$43:B$51,2,FALSE)),"",VLOOKUP(G$31&amp;"_6",A$43:B$51,2,FALSE))</f>
        <v/>
      </c>
    </row>
    <row r="42" spans="1:8">
      <c r="A42" t="s">
        <v>150</v>
      </c>
      <c r="B42" t="s">
        <v>68</v>
      </c>
      <c r="E42" t="s">
        <v>164</v>
      </c>
      <c r="F42" t="s">
        <v>165</v>
      </c>
    </row>
    <row r="43" spans="1:8">
      <c r="A43" t="s">
        <v>151</v>
      </c>
      <c r="B43" t="s">
        <v>154</v>
      </c>
      <c r="D43" t="str">
        <f>LEFT(A43,LEN(A43)-2)&amp;"_"&amp;B43</f>
        <v>AWG26/7_Cat.5e UTP</v>
      </c>
      <c r="E43" t="s">
        <v>163</v>
      </c>
      <c r="F43" t="s">
        <v>505</v>
      </c>
    </row>
    <row r="44" spans="1:8">
      <c r="A44" t="s">
        <v>152</v>
      </c>
      <c r="B44" t="s">
        <v>155</v>
      </c>
      <c r="D44" t="str">
        <f t="shared" ref="D44:D51" si="1">LEFT(A44,LEN(A44)-2)&amp;"_"&amp;B44</f>
        <v>AWG26/7_Cat.5e FTP</v>
      </c>
      <c r="E44" t="s">
        <v>166</v>
      </c>
      <c r="F44" t="s">
        <v>505</v>
      </c>
    </row>
    <row r="45" spans="1:8">
      <c r="A45" t="s">
        <v>153</v>
      </c>
      <c r="B45" t="s">
        <v>156</v>
      </c>
      <c r="D45" t="str">
        <f t="shared" si="1"/>
        <v>AWG26/7_Cat.6 UTP</v>
      </c>
      <c r="E45" t="s">
        <v>167</v>
      </c>
      <c r="F45" t="s">
        <v>505</v>
      </c>
    </row>
    <row r="46" spans="1:8">
      <c r="A46" t="s">
        <v>160</v>
      </c>
      <c r="B46" t="s">
        <v>157</v>
      </c>
      <c r="D46" t="str">
        <f t="shared" si="1"/>
        <v>AWG26/7_Cat.6 FTP</v>
      </c>
      <c r="E46" t="s">
        <v>168</v>
      </c>
      <c r="F46" t="s">
        <v>505</v>
      </c>
    </row>
    <row r="47" spans="1:8">
      <c r="A47" t="s">
        <v>161</v>
      </c>
      <c r="B47" t="s">
        <v>158</v>
      </c>
      <c r="D47" t="str">
        <f t="shared" si="1"/>
        <v>AWG26/7_Cat.6A UTP</v>
      </c>
      <c r="E47" t="s">
        <v>169</v>
      </c>
      <c r="F47" t="s">
        <v>505</v>
      </c>
    </row>
    <row r="48" spans="1:8">
      <c r="A48" t="s">
        <v>162</v>
      </c>
      <c r="B48" t="s">
        <v>159</v>
      </c>
      <c r="D48" t="str">
        <f t="shared" si="1"/>
        <v>AWG26/7_Cat.6A STP</v>
      </c>
      <c r="E48" t="s">
        <v>170</v>
      </c>
      <c r="F48" t="s">
        <v>505</v>
      </c>
    </row>
    <row r="49" spans="1:6">
      <c r="A49" t="s">
        <v>285</v>
      </c>
      <c r="B49" t="s">
        <v>156</v>
      </c>
      <c r="D49" t="str">
        <f t="shared" si="1"/>
        <v>AWG28/7_Cat.6 UTP</v>
      </c>
      <c r="E49" t="s">
        <v>171</v>
      </c>
      <c r="F49" s="24" t="s">
        <v>174</v>
      </c>
    </row>
    <row r="50" spans="1:6">
      <c r="A50" t="s">
        <v>286</v>
      </c>
      <c r="B50" t="s">
        <v>157</v>
      </c>
      <c r="D50" t="str">
        <f t="shared" si="1"/>
        <v>AWG28/7_Cat.6 FTP</v>
      </c>
      <c r="E50" t="s">
        <v>172</v>
      </c>
      <c r="F50" s="24" t="s">
        <v>174</v>
      </c>
    </row>
    <row r="51" spans="1:6">
      <c r="A51" t="s">
        <v>287</v>
      </c>
      <c r="B51" t="s">
        <v>159</v>
      </c>
      <c r="D51" t="str">
        <f t="shared" si="1"/>
        <v>AWG28/7_Cat.6A STP</v>
      </c>
      <c r="E51" t="s">
        <v>173</v>
      </c>
      <c r="F51" s="24" t="s">
        <v>174</v>
      </c>
    </row>
  </sheetData>
  <phoneticPr fontId="8" type="noConversion"/>
  <dataValidations count="1">
    <dataValidation allowBlank="1" showInputMessage="1" showErrorMessage="1" sqref="G31:I31 B31:C31" xr:uid="{962CE228-EEC8-4384-8B42-CEC21643A440}"/>
  </dataValidation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9D1B9-6CA5-4BCC-B8DD-BC0918174489}">
  <sheetPr codeName="Feuil5">
    <tabColor rgb="FFFF0000"/>
  </sheetPr>
  <dimension ref="A1:V39"/>
  <sheetViews>
    <sheetView workbookViewId="0"/>
  </sheetViews>
  <sheetFormatPr defaultColWidth="11.42578125" defaultRowHeight="15"/>
  <cols>
    <col min="1" max="2" width="18.7109375" customWidth="1"/>
    <col min="3" max="3" width="11.42578125" customWidth="1"/>
    <col min="4" max="4" width="18.7109375" customWidth="1"/>
    <col min="6" max="6" width="16.42578125" bestFit="1" customWidth="1"/>
    <col min="7" max="7" width="18.7109375" style="145" customWidth="1"/>
    <col min="8" max="10" width="11.42578125" style="145"/>
  </cols>
  <sheetData>
    <row r="1" spans="1:8" s="145" customFormat="1"/>
    <row r="2" spans="1:8" s="145" customFormat="1"/>
    <row r="3" spans="1:8">
      <c r="A3" t="s">
        <v>185</v>
      </c>
      <c r="B3" s="27">
        <f>'Temperature in bundle'!C24</f>
        <v>48</v>
      </c>
    </row>
    <row r="4" spans="1:8">
      <c r="A4" t="s">
        <v>0</v>
      </c>
      <c r="B4" s="27" t="str">
        <f>'Temperature in bundle'!C21</f>
        <v>VDICD116118GHD</v>
      </c>
    </row>
    <row r="5" spans="1:8">
      <c r="A5" t="s">
        <v>183</v>
      </c>
      <c r="B5" s="2">
        <f>IF(B4="","",VLOOKUP(B4,'Cable list'!C:J,8,FALSE))</f>
        <v>5.5</v>
      </c>
      <c r="C5" s="2"/>
    </row>
    <row r="6" spans="1:8">
      <c r="A6" t="s">
        <v>184</v>
      </c>
      <c r="B6" s="2">
        <f>'Temperature in bundle'!K12</f>
        <v>100</v>
      </c>
      <c r="C6" s="2"/>
    </row>
    <row r="7" spans="1:8">
      <c r="A7" t="s">
        <v>244</v>
      </c>
      <c r="B7" s="2">
        <f>'Temperature in bundle'!K13</f>
        <v>50</v>
      </c>
      <c r="C7" s="2"/>
    </row>
    <row r="8" spans="1:8">
      <c r="A8" t="s">
        <v>188</v>
      </c>
      <c r="B8" s="26">
        <v>0.1</v>
      </c>
      <c r="C8" s="2">
        <f>B5*(1+B8)</f>
        <v>6.0500000000000007</v>
      </c>
    </row>
    <row r="11" spans="1:8" ht="30">
      <c r="B11" s="25" t="s">
        <v>186</v>
      </c>
      <c r="C11" s="25"/>
      <c r="D11" s="25" t="s">
        <v>187</v>
      </c>
      <c r="G11" s="25" t="s">
        <v>187</v>
      </c>
      <c r="H11" s="145" t="s">
        <v>274</v>
      </c>
    </row>
    <row r="12" spans="1:8">
      <c r="A12" s="114" t="s">
        <v>324</v>
      </c>
      <c r="B12" s="27" t="str">
        <f t="shared" ref="B12:B21" si="0">IF(OR(C12=0,C12=""),"",MIN(C12,MIN(C12,B14)))</f>
        <v/>
      </c>
      <c r="C12" s="27" t="str">
        <f t="shared" ref="C12:C21" si="1">IF(OR(C13="",C13=0),"",C13-B13)</f>
        <v/>
      </c>
      <c r="D12" s="27" t="str">
        <f t="shared" ref="D12:D21" si="2">IF(OR(E12=0,E12=""),"",MIN(E12,MIN(E12,D14)))</f>
        <v/>
      </c>
      <c r="E12" s="27" t="str">
        <f t="shared" ref="E12:E21" si="3">IF(OR(E13="",E13=0),"",E13-D13)</f>
        <v/>
      </c>
      <c r="G12" s="27"/>
      <c r="H12" s="29"/>
    </row>
    <row r="13" spans="1:8">
      <c r="A13" s="114" t="s">
        <v>325</v>
      </c>
      <c r="B13" s="27" t="str">
        <f t="shared" si="0"/>
        <v/>
      </c>
      <c r="C13" s="27" t="str">
        <f t="shared" si="1"/>
        <v/>
      </c>
      <c r="D13" s="27" t="str">
        <f t="shared" si="2"/>
        <v/>
      </c>
      <c r="E13" s="27" t="str">
        <f t="shared" si="3"/>
        <v/>
      </c>
      <c r="F13" t="s">
        <v>403</v>
      </c>
      <c r="G13" s="27">
        <f>IF(B$4="","",INT(B$6/C$8-0.5))</f>
        <v>16</v>
      </c>
      <c r="H13" s="29">
        <f>H14+C$8*3^0.5/2</f>
        <v>11.289453692895854</v>
      </c>
    </row>
    <row r="14" spans="1:8">
      <c r="A14" s="114" t="s">
        <v>326</v>
      </c>
      <c r="B14" s="27" t="str">
        <f t="shared" si="0"/>
        <v/>
      </c>
      <c r="C14" s="27" t="str">
        <f t="shared" si="1"/>
        <v/>
      </c>
      <c r="D14" s="27" t="str">
        <f t="shared" si="2"/>
        <v/>
      </c>
      <c r="E14" s="27" t="str">
        <f t="shared" si="3"/>
        <v/>
      </c>
      <c r="F14" t="s">
        <v>404</v>
      </c>
      <c r="G14" s="27">
        <f>IF(B$4="","",INT(B$6/C$8))</f>
        <v>16</v>
      </c>
      <c r="H14" s="29">
        <f>C8</f>
        <v>6.0500000000000007</v>
      </c>
    </row>
    <row r="15" spans="1:8">
      <c r="A15" s="114" t="s">
        <v>327</v>
      </c>
      <c r="B15" s="27" t="str">
        <f t="shared" si="0"/>
        <v/>
      </c>
      <c r="C15" s="27" t="str">
        <f t="shared" si="1"/>
        <v/>
      </c>
      <c r="D15" s="27" t="str">
        <f t="shared" si="2"/>
        <v/>
      </c>
      <c r="E15" s="27" t="str">
        <f t="shared" si="3"/>
        <v/>
      </c>
      <c r="G15" s="27"/>
      <c r="H15" s="29"/>
    </row>
    <row r="16" spans="1:8">
      <c r="A16" s="114" t="s">
        <v>328</v>
      </c>
      <c r="B16" s="27" t="str">
        <f t="shared" si="0"/>
        <v/>
      </c>
      <c r="C16" s="27" t="str">
        <f t="shared" si="1"/>
        <v/>
      </c>
      <c r="D16" s="27" t="str">
        <f t="shared" si="2"/>
        <v/>
      </c>
      <c r="E16" s="27" t="str">
        <f t="shared" si="3"/>
        <v/>
      </c>
      <c r="F16" t="s">
        <v>400</v>
      </c>
      <c r="G16" s="158">
        <f>INT((B7-C8*(2-3^0.5))/(C8*3^0.5/2)/2)*2</f>
        <v>8</v>
      </c>
      <c r="H16" s="157">
        <f>(B7-C8*(2-3^0.5))/(C8*3^0.5/2)</f>
        <v>9.2335785792683698</v>
      </c>
    </row>
    <row r="17" spans="1:22">
      <c r="A17" s="114" t="s">
        <v>329</v>
      </c>
      <c r="B17" s="27" t="str">
        <f t="shared" si="0"/>
        <v/>
      </c>
      <c r="C17" s="27" t="str">
        <f t="shared" si="1"/>
        <v/>
      </c>
      <c r="D17" s="27" t="str">
        <f t="shared" si="2"/>
        <v/>
      </c>
      <c r="E17" s="27" t="str">
        <f t="shared" si="3"/>
        <v/>
      </c>
      <c r="F17" t="s">
        <v>401</v>
      </c>
      <c r="G17" s="27">
        <f>INT(G16/2+0.5)*G14+INT(G16/2)*G13</f>
        <v>128</v>
      </c>
    </row>
    <row r="18" spans="1:22">
      <c r="A18" s="114" t="s">
        <v>330</v>
      </c>
      <c r="B18" s="27" t="str">
        <f t="shared" si="0"/>
        <v/>
      </c>
      <c r="C18" s="27" t="str">
        <f t="shared" si="1"/>
        <v/>
      </c>
      <c r="D18" s="27" t="str">
        <f t="shared" si="2"/>
        <v/>
      </c>
      <c r="E18" s="27" t="str">
        <f t="shared" si="3"/>
        <v/>
      </c>
      <c r="F18" t="s">
        <v>402</v>
      </c>
      <c r="G18" s="87">
        <f>B3/G17</f>
        <v>0.375</v>
      </c>
    </row>
    <row r="19" spans="1:22">
      <c r="A19" s="114" t="s">
        <v>331</v>
      </c>
      <c r="B19" s="27" t="str">
        <f t="shared" si="0"/>
        <v/>
      </c>
      <c r="C19" s="27" t="str">
        <f t="shared" si="1"/>
        <v/>
      </c>
      <c r="D19" s="27" t="str">
        <f t="shared" si="2"/>
        <v/>
      </c>
      <c r="E19" s="27" t="str">
        <f t="shared" si="3"/>
        <v/>
      </c>
      <c r="F19" t="s">
        <v>199</v>
      </c>
      <c r="G19" s="28">
        <f>B3*2/(G14+G13)</f>
        <v>3</v>
      </c>
      <c r="H19" s="29">
        <f>C$8*(1+(G19-1)*3^0.5/2)</f>
        <v>16.528907385791708</v>
      </c>
    </row>
    <row r="20" spans="1:22">
      <c r="A20" s="114" t="s">
        <v>332</v>
      </c>
      <c r="B20" s="27" t="str">
        <f t="shared" si="0"/>
        <v/>
      </c>
      <c r="C20" s="27" t="str">
        <f t="shared" si="1"/>
        <v/>
      </c>
      <c r="D20" s="27" t="str">
        <f t="shared" si="2"/>
        <v/>
      </c>
      <c r="E20" s="27" t="str">
        <f t="shared" si="3"/>
        <v/>
      </c>
      <c r="F20" t="s">
        <v>405</v>
      </c>
      <c r="G20" s="158">
        <f>IF(G19=INT(G19),G19,INT(G19)+1)</f>
        <v>3</v>
      </c>
      <c r="H20" s="29">
        <f>C$8*(1+(G20-1)*3^0.5/2)</f>
        <v>16.528907385791708</v>
      </c>
    </row>
    <row r="21" spans="1:22">
      <c r="A21" s="114" t="s">
        <v>333</v>
      </c>
      <c r="B21" s="27" t="str">
        <f t="shared" si="0"/>
        <v/>
      </c>
      <c r="C21" s="27" t="str">
        <f t="shared" si="1"/>
        <v/>
      </c>
      <c r="D21" s="27" t="str">
        <f t="shared" si="2"/>
        <v/>
      </c>
      <c r="E21" s="27" t="str">
        <f t="shared" si="3"/>
        <v/>
      </c>
      <c r="G21" s="27"/>
      <c r="H21" s="29"/>
    </row>
    <row r="22" spans="1:22">
      <c r="A22" t="s">
        <v>189</v>
      </c>
      <c r="B22" s="27" t="str">
        <f t="shared" ref="B22:D27" si="4">IF(OR(C22=0,C22=""),"",MIN(C22,MIN(C22,B24)))</f>
        <v/>
      </c>
      <c r="C22" s="27" t="str">
        <f t="shared" ref="C22:C28" si="5">IF(OR(C23="",C23=0),"",C23-B23)</f>
        <v/>
      </c>
      <c r="D22" s="27" t="str">
        <f t="shared" si="4"/>
        <v/>
      </c>
      <c r="E22" s="27" t="str">
        <f t="shared" ref="E22:E28" si="6">IF(OR(E23="",E23=0),"",E23-D23)</f>
        <v/>
      </c>
      <c r="F22" t="s">
        <v>200</v>
      </c>
      <c r="G22" s="28">
        <f>IF(G19&lt;1,1,G19)</f>
        <v>3</v>
      </c>
      <c r="H22" s="29">
        <f>IF(G19&lt;1,C8,H19)</f>
        <v>16.528907385791708</v>
      </c>
    </row>
    <row r="23" spans="1:22">
      <c r="A23" t="s">
        <v>190</v>
      </c>
      <c r="B23" s="27" t="str">
        <f t="shared" si="4"/>
        <v/>
      </c>
      <c r="C23" s="27" t="str">
        <f t="shared" si="5"/>
        <v/>
      </c>
      <c r="D23" s="27" t="str">
        <f t="shared" si="4"/>
        <v/>
      </c>
      <c r="E23" s="27" t="str">
        <f t="shared" si="6"/>
        <v/>
      </c>
      <c r="F23" t="s">
        <v>406</v>
      </c>
      <c r="H23" s="29">
        <f>IF(B3&lt;G14,B3*C8,(G14+G13+1)/2*C8)</f>
        <v>99.825000000000017</v>
      </c>
    </row>
    <row r="24" spans="1:22">
      <c r="A24" t="s">
        <v>191</v>
      </c>
      <c r="B24" s="27" t="str">
        <f t="shared" si="4"/>
        <v/>
      </c>
      <c r="C24" s="27" t="str">
        <f t="shared" si="5"/>
        <v/>
      </c>
      <c r="D24" s="27" t="str">
        <f t="shared" si="4"/>
        <v/>
      </c>
      <c r="E24" s="27" t="str">
        <f t="shared" si="6"/>
        <v/>
      </c>
      <c r="F24" t="s">
        <v>407</v>
      </c>
      <c r="G24" s="27"/>
      <c r="H24" s="30">
        <f>H23/H22</f>
        <v>6.039419162443239</v>
      </c>
    </row>
    <row r="25" spans="1:22">
      <c r="A25" t="s">
        <v>192</v>
      </c>
      <c r="B25" s="27" t="str">
        <f t="shared" si="4"/>
        <v/>
      </c>
      <c r="C25" s="27" t="str">
        <f t="shared" si="5"/>
        <v/>
      </c>
      <c r="D25" s="27" t="str">
        <f t="shared" si="4"/>
        <v/>
      </c>
      <c r="E25" s="27" t="str">
        <f t="shared" si="6"/>
        <v/>
      </c>
      <c r="G25" s="27"/>
      <c r="H25" s="31">
        <f>IF(H24&gt;10,V26,H26*(1-(H24-INT(H24)))+H27*(H24-INT(H24)))</f>
        <v>0.61881742512670279</v>
      </c>
      <c r="K25" t="s">
        <v>202</v>
      </c>
      <c r="M25">
        <v>1</v>
      </c>
      <c r="N25">
        <v>2</v>
      </c>
      <c r="O25">
        <v>3</v>
      </c>
      <c r="P25">
        <v>4</v>
      </c>
      <c r="Q25">
        <v>5</v>
      </c>
      <c r="R25">
        <v>6</v>
      </c>
      <c r="S25">
        <v>7</v>
      </c>
      <c r="T25">
        <v>8</v>
      </c>
      <c r="U25">
        <v>9</v>
      </c>
      <c r="V25">
        <v>10</v>
      </c>
    </row>
    <row r="26" spans="1:22">
      <c r="A26" t="s">
        <v>193</v>
      </c>
      <c r="B26" s="27" t="str">
        <f t="shared" si="4"/>
        <v/>
      </c>
      <c r="C26" s="27" t="str">
        <f t="shared" si="5"/>
        <v/>
      </c>
      <c r="D26" s="27" t="str">
        <f t="shared" si="4"/>
        <v/>
      </c>
      <c r="E26" s="27" t="str">
        <f t="shared" si="6"/>
        <v/>
      </c>
      <c r="G26" s="27"/>
      <c r="H26" s="32">
        <f>HLOOKUP(INT(H24),$M$25:$V$26,2,FALSE)</f>
        <v>0.62</v>
      </c>
      <c r="K26" s="20" t="s">
        <v>201</v>
      </c>
      <c r="M26">
        <v>0.89</v>
      </c>
      <c r="N26">
        <v>0.84</v>
      </c>
      <c r="O26">
        <v>0.77</v>
      </c>
      <c r="P26">
        <v>0.71</v>
      </c>
      <c r="Q26">
        <v>0.66</v>
      </c>
      <c r="R26">
        <v>0.62</v>
      </c>
      <c r="S26">
        <v>0.59</v>
      </c>
      <c r="T26">
        <v>0.56000000000000005</v>
      </c>
      <c r="U26">
        <v>0.53</v>
      </c>
      <c r="V26">
        <v>0.51</v>
      </c>
    </row>
    <row r="27" spans="1:22">
      <c r="A27" t="s">
        <v>194</v>
      </c>
      <c r="B27" s="27" t="str">
        <f t="shared" si="4"/>
        <v/>
      </c>
      <c r="C27" s="27" t="str">
        <f t="shared" si="5"/>
        <v/>
      </c>
      <c r="D27" s="27" t="str">
        <f t="shared" si="4"/>
        <v/>
      </c>
      <c r="E27" s="27" t="str">
        <f t="shared" si="6"/>
        <v/>
      </c>
      <c r="G27" s="27"/>
      <c r="H27" s="32">
        <f>HLOOKUP(INT(H24+1),$M$25:$V$26,2,FALSE)</f>
        <v>0.59</v>
      </c>
    </row>
    <row r="28" spans="1:22">
      <c r="A28" t="s">
        <v>195</v>
      </c>
      <c r="B28" s="27" t="str">
        <f>IF(OR(C28=0,C28=""),"",MIN(C28,MIN(C28,B30)))</f>
        <v/>
      </c>
      <c r="C28" s="27">
        <f t="shared" si="5"/>
        <v>0</v>
      </c>
      <c r="D28" s="27" t="str">
        <f>IF(OR(E28=0,E28=""),"",MIN(E28,MIN(E28,D30)))</f>
        <v/>
      </c>
      <c r="E28" s="27">
        <f t="shared" si="6"/>
        <v>0</v>
      </c>
      <c r="G28" s="27"/>
      <c r="H28" s="29"/>
    </row>
    <row r="29" spans="1:22">
      <c r="A29" t="s">
        <v>196</v>
      </c>
      <c r="B29" s="27">
        <f>IF(OR(C29=0,C29=""),"",MIN(C29,MIN(C29,B31)))</f>
        <v>13</v>
      </c>
      <c r="C29" s="27">
        <f>IF(OR(C30="",C30=0),"",C30-B30)</f>
        <v>13</v>
      </c>
      <c r="D29" s="27">
        <f>IF(OR(E29=0,E29=""),"",MIN(E29,MIN(E29,D31)))</f>
        <v>16</v>
      </c>
      <c r="E29" s="27">
        <f>IF(OR(E30="",E30=0),"",E30-D30)</f>
        <v>16</v>
      </c>
      <c r="G29" s="27"/>
      <c r="H29" s="29"/>
    </row>
    <row r="30" spans="1:22">
      <c r="A30" t="s">
        <v>197</v>
      </c>
      <c r="B30" s="27">
        <f>IF(OR(C30=0,C30=""),"",MIN(C30,INT($B$6/$B$5-0.5)))</f>
        <v>17</v>
      </c>
      <c r="C30" s="27">
        <f>IF(OR(C31="",C31=0),"",C31-B31)</f>
        <v>30</v>
      </c>
      <c r="D30" s="27">
        <f>IF(OR(E30=0,E30=""),"",MIN(E30,INT($B$6/($B$5*(1+$B$8))-0.5)))</f>
        <v>16</v>
      </c>
      <c r="E30" s="27">
        <f>IF(E31="","",$B$3-D31)</f>
        <v>32</v>
      </c>
    </row>
    <row r="31" spans="1:22">
      <c r="A31" t="s">
        <v>198</v>
      </c>
      <c r="B31" s="27">
        <f>IF(OR(C31=0,C31=""),"",MIN(C31,INT($B$6/$B$5)))</f>
        <v>18</v>
      </c>
      <c r="C31" s="27">
        <f>IF(OR($B$3="",$B$3=0),"",$B$3)</f>
        <v>48</v>
      </c>
      <c r="D31" s="27">
        <f>IF(OR(E31=0,E31=""),"",MIN(E31,INT($B$6/($B$5*(1+$B$8)))))</f>
        <v>16</v>
      </c>
      <c r="E31" s="27">
        <f>IF(OR($B$3="",$B$3=0),"",$B$3)</f>
        <v>48</v>
      </c>
    </row>
    <row r="33" spans="1:5">
      <c r="A33" t="s">
        <v>199</v>
      </c>
      <c r="B33" s="27"/>
      <c r="C33" s="28">
        <f>IF(B31="","",MIN(B13:B31)/B31+18-COUNTIF(C13:C31,""))</f>
        <v>3.7222222222222214</v>
      </c>
      <c r="E33" s="28">
        <f>IF(D31="","",MIN(D13:D31)/D31+18-COUNTIF(E13:E31,""))</f>
        <v>4</v>
      </c>
    </row>
    <row r="34" spans="1:5">
      <c r="A34" t="s">
        <v>200</v>
      </c>
      <c r="C34" s="29">
        <f>$B$5*(1+(C33-1)*3^0.5/2)</f>
        <v>18.466324795550342</v>
      </c>
      <c r="E34" s="29">
        <f>$B$5*(1+(E33-1)*3^0.5/2*(1+B8))</f>
        <v>21.218361078687565</v>
      </c>
    </row>
    <row r="35" spans="1:5">
      <c r="A35" t="s">
        <v>202</v>
      </c>
      <c r="C35" s="30">
        <f>IF($B$6/C34&gt;1,$B$6/C34,C34/$B$6)</f>
        <v>5.415262706962463</v>
      </c>
      <c r="E35" s="30">
        <f>IF($B$6/E34&gt;1,$B$6/E34,E34/$B$6)</f>
        <v>4.7128993435993207</v>
      </c>
    </row>
    <row r="36" spans="1:5">
      <c r="A36" s="20" t="s">
        <v>201</v>
      </c>
      <c r="C36" s="31">
        <f>IF(C35&gt;10,V26,C37*(1-(C35-INT(C35)))+C38*(C35-INT(C35)))</f>
        <v>0.64338949172150151</v>
      </c>
      <c r="E36" s="31">
        <f>IF(E35&gt;10,V26,E37*(1-(E35-INT(E35)))+E38*(E35-INT(E35)))</f>
        <v>0.67435503282003395</v>
      </c>
    </row>
    <row r="37" spans="1:5">
      <c r="C37" s="32">
        <f>HLOOKUP(INT(C35),$M$25:$V$26,2,FALSE)</f>
        <v>0.66</v>
      </c>
      <c r="E37" s="32">
        <f>HLOOKUP(INT(E35),$M$25:$V$26,2,FALSE)</f>
        <v>0.71</v>
      </c>
    </row>
    <row r="38" spans="1:5">
      <c r="C38" s="32">
        <f>HLOOKUP(INT(C35+1),$M$25:$V$26,2,FALSE)</f>
        <v>0.62</v>
      </c>
      <c r="E38" s="32">
        <f>HLOOKUP(INT(E35+1),$M$25:$V$26,2,FALSE)</f>
        <v>0.66</v>
      </c>
    </row>
    <row r="39" spans="1:5">
      <c r="A39" t="s">
        <v>245</v>
      </c>
      <c r="C39" s="87">
        <f>C34/$B$7</f>
        <v>0.36932649591100686</v>
      </c>
      <c r="E39" s="87">
        <f>IF(E34/$B$7&lt;=1,E34/$B$7," &gt; 100%")</f>
        <v>0.42436722157375129</v>
      </c>
    </row>
  </sheetData>
  <phoneticPr fontId="8" type="noConversion"/>
  <pageMargins left="0.7" right="0.7" top="0.75" bottom="0.75" header="0.3" footer="0.3"/>
  <pageSetup paperSize="9"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B8296-F353-4913-A3ED-4DDC040C18B6}">
  <sheetPr>
    <tabColor rgb="FFFF0000"/>
  </sheetPr>
  <dimension ref="A1:D84"/>
  <sheetViews>
    <sheetView workbookViewId="0">
      <selection activeCell="C81" sqref="C81"/>
    </sheetView>
  </sheetViews>
  <sheetFormatPr defaultColWidth="11.42578125" defaultRowHeight="15"/>
  <cols>
    <col min="1" max="2" width="6.7109375" style="11" customWidth="1"/>
    <col min="3" max="3" width="100.7109375" style="159" customWidth="1"/>
    <col min="4" max="6" width="6.7109375" style="11" customWidth="1"/>
    <col min="7" max="16384" width="11.42578125" style="11"/>
  </cols>
  <sheetData>
    <row r="1" spans="1:3">
      <c r="A1" s="186" t="s">
        <v>321</v>
      </c>
      <c r="B1" s="186"/>
      <c r="C1" s="186"/>
    </row>
    <row r="2" spans="1:3">
      <c r="A2" s="11" t="s">
        <v>317</v>
      </c>
    </row>
    <row r="3" spans="1:3">
      <c r="B3" s="11">
        <f>SUM(B4:B6)</f>
        <v>0</v>
      </c>
      <c r="C3" s="159" t="s">
        <v>342</v>
      </c>
    </row>
    <row r="4" spans="1:3">
      <c r="A4" s="11" t="s">
        <v>318</v>
      </c>
      <c r="B4" s="11">
        <f>IF(OR('Temperature in bundle'!C5="",'Temperature in bundle'!C6="",'Temperature in bundle'!C7=""),0,IF('Temperature in bundle'!C8="",1,0))</f>
        <v>0</v>
      </c>
      <c r="C4" s="159" t="s">
        <v>354</v>
      </c>
    </row>
    <row r="5" spans="1:3">
      <c r="A5" s="11" t="s">
        <v>319</v>
      </c>
      <c r="B5" s="11">
        <f>IF(OR('Temperature in bundle'!C11&lt;1,'Temperature in bundle'!C11&gt;24),1,0)</f>
        <v>0</v>
      </c>
      <c r="C5" s="159" t="s">
        <v>340</v>
      </c>
    </row>
    <row r="6" spans="1:3">
      <c r="A6" s="11" t="s">
        <v>320</v>
      </c>
      <c r="B6" s="11">
        <f>IF(OR('Temperature in bundle'!C12&lt;20,'Temperature in bundle'!C12&gt;60),1,0)</f>
        <v>0</v>
      </c>
      <c r="C6" s="159" t="s">
        <v>337</v>
      </c>
    </row>
    <row r="8" spans="1:3">
      <c r="B8" s="11">
        <f>SUM(B9:B12)</f>
        <v>0</v>
      </c>
      <c r="C8" s="159" t="s">
        <v>343</v>
      </c>
    </row>
    <row r="9" spans="1:3">
      <c r="A9" s="11" t="s">
        <v>322</v>
      </c>
      <c r="B9" s="11">
        <f>IF(OR('Temperature in bundle'!C18="",'Temperature in bundle'!C19="",'Temperature in bundle'!C20=""),0,IF('Temperature in bundle'!C21="",1,0))</f>
        <v>0</v>
      </c>
      <c r="C9" s="159" t="s">
        <v>355</v>
      </c>
    </row>
    <row r="10" spans="1:3">
      <c r="A10" s="11" t="s">
        <v>334</v>
      </c>
      <c r="B10" s="11">
        <f>IF(OR('Temperature in bundle'!C23&lt;10,'Temperature in bundle'!C23&gt;90),1,0)</f>
        <v>0</v>
      </c>
      <c r="C10" s="159" t="s">
        <v>360</v>
      </c>
    </row>
    <row r="11" spans="1:3">
      <c r="A11" s="11" t="s">
        <v>335</v>
      </c>
      <c r="B11" s="11">
        <f>IF(OR('Temperature in bundle'!C24&lt;1,'Temperature in bundle'!C24&gt;199),1,0)</f>
        <v>0</v>
      </c>
      <c r="C11" s="159" t="s">
        <v>341</v>
      </c>
    </row>
    <row r="12" spans="1:3">
      <c r="A12" s="11" t="s">
        <v>336</v>
      </c>
      <c r="B12" s="11">
        <f>IF(OR('Temperature in bundle'!C25&lt;20,'Temperature in bundle'!C25&gt;60),1,0)</f>
        <v>0</v>
      </c>
      <c r="C12" s="159" t="s">
        <v>337</v>
      </c>
    </row>
    <row r="14" spans="1:3">
      <c r="B14" s="11">
        <f>SUM(B15:B16)</f>
        <v>0</v>
      </c>
      <c r="C14" s="159" t="s">
        <v>344</v>
      </c>
    </row>
    <row r="15" spans="1:3">
      <c r="A15" s="11" t="s">
        <v>338</v>
      </c>
      <c r="B15" s="11">
        <f>IF(OR('Temperature in bundle'!C29="",'Temperature in bundle'!C30="",'Temperature in bundle'!C31=""),0,IF('Temperature in bundle'!C32="",1,0))</f>
        <v>0</v>
      </c>
      <c r="C15" s="159" t="s">
        <v>356</v>
      </c>
    </row>
    <row r="16" spans="1:3">
      <c r="A16" s="11" t="s">
        <v>339</v>
      </c>
      <c r="B16" s="11">
        <f>IF(OR('Temperature in bundle'!C35&lt;20,'Temperature in bundle'!C35&gt;60),1,0)</f>
        <v>0</v>
      </c>
      <c r="C16" s="159" t="s">
        <v>337</v>
      </c>
    </row>
    <row r="18" spans="1:3">
      <c r="B18" s="11">
        <f>SUM(B19:B20)</f>
        <v>0</v>
      </c>
      <c r="C18" s="159" t="s">
        <v>357</v>
      </c>
    </row>
    <row r="19" spans="1:3">
      <c r="A19" s="11" t="s">
        <v>358</v>
      </c>
      <c r="B19" s="11">
        <f>IF(OR('Temperature in bundle'!K12&lt;50,'Temperature in bundle'!K12&gt;1000),1,0)</f>
        <v>0</v>
      </c>
      <c r="C19" s="159" t="s">
        <v>362</v>
      </c>
    </row>
    <row r="20" spans="1:3">
      <c r="A20" s="11" t="s">
        <v>359</v>
      </c>
      <c r="B20" s="11">
        <f>IF(OR('Temperature in bundle'!K13&lt;50,'Temperature in bundle'!K13&gt;200),1,0)</f>
        <v>0</v>
      </c>
      <c r="C20" s="159" t="s">
        <v>361</v>
      </c>
    </row>
    <row r="22" spans="1:3">
      <c r="B22" s="11">
        <f>SUM(B23:B24)</f>
        <v>0</v>
      </c>
      <c r="C22" s="159" t="s">
        <v>363</v>
      </c>
    </row>
    <row r="23" spans="1:3">
      <c r="A23" s="11" t="s">
        <v>364</v>
      </c>
      <c r="B23" s="11">
        <f>IF('Temperature in bundle'!Q7&gt;71.3,1,0)</f>
        <v>0</v>
      </c>
      <c r="C23" s="159" t="s">
        <v>366</v>
      </c>
    </row>
    <row r="24" spans="1:3">
      <c r="A24" s="11" t="s">
        <v>365</v>
      </c>
      <c r="B24" s="11">
        <f>IF(OR('Temperature in bundle'!Q8="",'Temperature in bundle'!Q8='Constant list'!F37,'Temperature in bundle'!Q8='Constant list'!G37,'Temperature in bundle'!Q7&gt;71.3),0,1)</f>
        <v>0</v>
      </c>
      <c r="C24" s="159" t="s">
        <v>367</v>
      </c>
    </row>
    <row r="28" spans="1:3" ht="60" customHeight="1">
      <c r="C28" s="160" t="str">
        <f>IF(C30="",IF(C32="",IF(C34="",IF(C36="",IF(C38="",C40,C38),C36),C34),C32),C30)</f>
        <v/>
      </c>
    </row>
    <row r="30" spans="1:3" ht="60" customHeight="1">
      <c r="B30" s="11">
        <v>1</v>
      </c>
      <c r="C30" s="160" t="str">
        <f>IF(B3=0,"",C3&amp;IF(B4=1,CHAR(10)&amp;C4,"")&amp;IF(B5=1,CHAR(10)&amp;C5,"")&amp;IF(B6=1,CHAR(10)&amp;C6,""))</f>
        <v/>
      </c>
    </row>
    <row r="32" spans="1:3" ht="75" customHeight="1">
      <c r="B32" s="11">
        <v>2</v>
      </c>
      <c r="C32" s="160" t="str">
        <f>IF(B8=0,"",C8&amp;IF(B9=1,CHAR(10)&amp;C9,"")&amp;IF(B10=1,CHAR(10)&amp;C10,"")&amp;IF(B11=1,CHAR(10)&amp;C11,"")&amp;IF(B12=1,CHAR(10)&amp;C12,""))</f>
        <v/>
      </c>
    </row>
    <row r="34" spans="1:4" ht="45" customHeight="1">
      <c r="B34" s="11">
        <v>3</v>
      </c>
      <c r="C34" s="160" t="str">
        <f>IF(B14=0,"",C14&amp;IF(B15=1,CHAR(10)&amp;C15,"")&amp;IF(B16=1,CHAR(10)&amp;C16,""))</f>
        <v/>
      </c>
    </row>
    <row r="36" spans="1:4" ht="45" customHeight="1">
      <c r="B36" s="11">
        <v>4</v>
      </c>
      <c r="C36" s="160" t="str">
        <f>IF(B18=0,"",C18&amp;IF(B19=1,CHAR(10)&amp;C19,"")&amp;IF(B20=1,CHAR(10)&amp;C20,""))</f>
        <v/>
      </c>
    </row>
    <row r="38" spans="1:4" ht="45" customHeight="1">
      <c r="B38" s="11">
        <v>5</v>
      </c>
      <c r="C38" s="160" t="str">
        <f>IF(B22=0,"",C22&amp;IF(B23=1,CHAR(10)&amp;C23,"")&amp;IF(B24=1,CHAR(10)&amp;C24,""))</f>
        <v/>
      </c>
    </row>
    <row r="40" spans="1:4" ht="60" customHeight="1">
      <c r="C40" s="160" t="str">
        <f>IF(AND('Temperature in bundle'!C5="AWG28/7",OR('Temperature in bundle'!C6="Cat.6 UTP",'Temperature in bundle'!C6="Cat.6 FTP"),'Temperature in bundle'!Q7&gt;51,'Temperature in bundle'!Q7&lt;=71.3,'Temperature in bundle'!C11&gt;12,'Temperature in bundle'!C11&lt;=24),"WARNING !"&amp;CHAR(10)&amp;"Schneider Electric recommends not to exceed bundles of 12 cords when carrying PoE Class 7 or Class 8","")</f>
        <v/>
      </c>
    </row>
    <row r="45" spans="1:4">
      <c r="A45" s="186" t="s">
        <v>380</v>
      </c>
      <c r="B45" s="186"/>
      <c r="C45" s="186"/>
    </row>
    <row r="46" spans="1:4" ht="45" customHeight="1">
      <c r="A46" s="11" t="s">
        <v>381</v>
      </c>
      <c r="C46" s="160" t="str">
        <f>IF('Temperature in bundle'!C21="","",'Temperature in bundle'!C21&amp;CHAR(10)&amp;"Ø "&amp;VLOOKUP('Temperature in bundle'!C21,'Cable list'!C:N,8,FALSE)&amp;" mm"&amp;CHAR(10)&amp;" R =  "&amp;ROUND(VLOOKUP('Temperature in bundle'!C21,'Cable list'!C:N,12,FALSE),1)&amp;" Ω/km")</f>
        <v>VDICD116118GHD
Ø 5,5 mm
 R =  76,5 Ω/km</v>
      </c>
    </row>
    <row r="48" spans="1:4">
      <c r="D48" s="146"/>
    </row>
    <row r="49" spans="1:3">
      <c r="A49" s="186" t="s">
        <v>390</v>
      </c>
      <c r="B49" s="186"/>
      <c r="C49" s="186"/>
    </row>
    <row r="50" spans="1:3">
      <c r="A50" s="11">
        <v>11</v>
      </c>
      <c r="B50" s="11">
        <v>1</v>
      </c>
    </row>
    <row r="51" spans="1:3">
      <c r="A51" s="11">
        <v>12</v>
      </c>
      <c r="B51" s="11">
        <v>2</v>
      </c>
      <c r="C51" s="159" t="s">
        <v>393</v>
      </c>
    </row>
    <row r="52" spans="1:3">
      <c r="A52" s="11">
        <v>13</v>
      </c>
      <c r="B52" s="11">
        <v>3</v>
      </c>
      <c r="C52" s="159" t="s">
        <v>394</v>
      </c>
    </row>
    <row r="53" spans="1:3">
      <c r="A53" s="11">
        <v>21</v>
      </c>
      <c r="B53" s="11">
        <v>2</v>
      </c>
      <c r="C53" s="159" t="s">
        <v>391</v>
      </c>
    </row>
    <row r="54" spans="1:3">
      <c r="A54" s="11">
        <v>22</v>
      </c>
      <c r="B54" s="11">
        <v>2</v>
      </c>
      <c r="C54" s="159" t="s">
        <v>393</v>
      </c>
    </row>
    <row r="55" spans="1:3">
      <c r="A55" s="11">
        <v>23</v>
      </c>
      <c r="B55" s="11">
        <v>3</v>
      </c>
      <c r="C55" s="159" t="s">
        <v>394</v>
      </c>
    </row>
    <row r="56" spans="1:3">
      <c r="A56" s="11">
        <v>31</v>
      </c>
      <c r="B56" s="11">
        <v>3</v>
      </c>
      <c r="C56" s="159" t="s">
        <v>392</v>
      </c>
    </row>
    <row r="57" spans="1:3">
      <c r="A57" s="11">
        <v>32</v>
      </c>
      <c r="B57" s="11">
        <v>3</v>
      </c>
      <c r="C57" s="159" t="s">
        <v>392</v>
      </c>
    </row>
    <row r="58" spans="1:3">
      <c r="A58" s="11">
        <v>33</v>
      </c>
      <c r="B58" s="11">
        <v>3</v>
      </c>
      <c r="C58" s="159" t="s">
        <v>394</v>
      </c>
    </row>
    <row r="60" spans="1:3" ht="30">
      <c r="C60" s="160" t="s">
        <v>395</v>
      </c>
    </row>
    <row r="62" spans="1:3">
      <c r="A62" s="186" t="s">
        <v>396</v>
      </c>
      <c r="B62" s="186"/>
      <c r="C62" s="186"/>
    </row>
    <row r="63" spans="1:3">
      <c r="B63" s="11">
        <f>IF(OR('Calc-round bundle'!AD12=11,'Calc-round bundle'!AD12=""),1,VLOOKUP('Calc-round bundle'!AD12,A50:C58,2,FALSE))</f>
        <v>1</v>
      </c>
      <c r="C63" s="159" t="str">
        <f>IF(OR('Calc-round bundle'!AD12=11,'Calc-round bundle'!AD12=""),"","Equipment cord worst case "&amp;VLOOKUP('Calc-round bundle'!AD12,A50:C58,3,FALSE)&amp;CHAR(10))</f>
        <v/>
      </c>
    </row>
    <row r="64" spans="1:3">
      <c r="B64" s="11">
        <f>IF(OR('Calc-round bundle'!AE12=11,'Calc-round bundle'!AE12=""),1,VLOOKUP('Calc-round bundle'!AE12,A50:C58,2,FALSE))</f>
        <v>1</v>
      </c>
      <c r="C64" s="159" t="str">
        <f>IF(OR('Calc-round bundle'!AE12=11,'Calc-round bundle'!AE12=""),"","Horizontal cable worst case "&amp;VLOOKUP('Calc-round bundle'!AE12,A50:C58,3,FALSE)&amp;CHAR(10))</f>
        <v/>
      </c>
    </row>
    <row r="65" spans="1:3">
      <c r="C65" s="159" t="str">
        <f>IF('Temperature in bundle'!$G$21="","",IF('Temperature in bundle'!$G$21&lt;0.95,"",IF('Temperature in bundle'!$G$21&gt;1,"Channel Insertion Loss exceeds the limit"&amp;CHAR(10),"Channel Insertion Loss is close to the limit"&amp;CHAR(10))))</f>
        <v/>
      </c>
    </row>
    <row r="66" spans="1:3">
      <c r="C66" s="159" t="str">
        <f>IF('Temperature in bundle'!$G$22="","",IF('Temperature in bundle'!$G$22&lt;0.95,"",IF('Temperature in bundle'!$G$22&gt;1,"Permanent Link Insertion Loss exceeds the limit"&amp;CHAR(10),"Permanent Link Insertion Loss is close to the limit"&amp;CHAR(10))))</f>
        <v/>
      </c>
    </row>
    <row r="67" spans="1:3" ht="75" customHeight="1">
      <c r="C67" s="160" t="str">
        <f>IF(C63&amp;C64&amp;C65&amp;C66="","",C$60&amp;C63&amp;C64&amp;C65&amp;C66)</f>
        <v/>
      </c>
    </row>
    <row r="69" spans="1:3">
      <c r="A69" s="186" t="s">
        <v>397</v>
      </c>
      <c r="B69" s="186"/>
      <c r="C69" s="186"/>
    </row>
    <row r="70" spans="1:3">
      <c r="B70" s="11">
        <f>IF(OR('Calc-flat bundle'!AD12=11,'Calc-flat bundle'!AD12=""),1,VLOOKUP('Calc-flat bundle'!AD12,A50:C58,2,FALSE))</f>
        <v>1</v>
      </c>
      <c r="C70" s="159" t="str">
        <f>IF(OR('Calc-flat bundle'!AD12=11,'Calc-flat bundle'!AD12=""),"","Equipment cord worst case "&amp;VLOOKUP('Calc-flat bundle'!AD12,A50:C58,3,FALSE)&amp;CHAR(10))</f>
        <v/>
      </c>
    </row>
    <row r="71" spans="1:3">
      <c r="B71" s="11">
        <f>IF(OR('Calc-flat bundle'!AE12=11,'Calc-flat bundle'!AE12=""),1,VLOOKUP('Calc-flat bundle'!AE12,A50:C58,2,FALSE))</f>
        <v>1</v>
      </c>
      <c r="C71" s="159" t="str">
        <f>IF(OR('Calc-flat bundle'!AE12=11,'Calc-flat bundle'!AE12=""),"","Horizontal cable worst case "&amp;VLOOKUP('Calc-flat bundle'!AE12,A50:C58,3,FALSE)&amp;CHAR(10))</f>
        <v/>
      </c>
    </row>
    <row r="72" spans="1:3">
      <c r="C72" s="159" t="str">
        <f>IF('Temperature in bundle'!$L$21="","",IF('Temperature in bundle'!$L$21&lt;0.95,"",IF('Temperature in bundle'!$L$21&gt;1,"Channel Insertion Loss exceeds the limit"&amp;CHAR(10),"Channel Insertion Loss is close to the limit"&amp;CHAR(10))))</f>
        <v/>
      </c>
    </row>
    <row r="73" spans="1:3">
      <c r="C73" s="159" t="str">
        <f>IF('Temperature in bundle'!$L$22="","",IF('Temperature in bundle'!$L$22&lt;0.95,"",IF('Temperature in bundle'!$L$22&gt;1,"Permanent Link Insertion Loss exceeds the limit"&amp;CHAR(10),"Permanent Link Insertion Loss is close to the limit"&amp;CHAR(10))))</f>
        <v/>
      </c>
    </row>
    <row r="74" spans="1:3" ht="75" customHeight="1">
      <c r="C74" s="160" t="str">
        <f>IF(C70&amp;C71&amp;C72&amp;C73="","",C$60&amp;C70&amp;C71&amp;C72&amp;C73)</f>
        <v/>
      </c>
    </row>
    <row r="76" spans="1:3">
      <c r="A76" s="186" t="s">
        <v>398</v>
      </c>
      <c r="B76" s="186"/>
      <c r="C76" s="186"/>
    </row>
    <row r="77" spans="1:3">
      <c r="B77" s="11">
        <f>IF(OR('Calc-24-cable bundle'!AD12=11,'Calc-24-cable bundle'!AD12=""),1,VLOOKUP('Calc-24-cable bundle'!AD12,A50:C58,2,FALSE))</f>
        <v>1</v>
      </c>
      <c r="C77" s="159" t="str">
        <f>IF(OR('Calc-24-cable bundle'!AD12=11,'Calc-24-cable bundle'!AD12=""),"","Equipment cord worst case "&amp;VLOOKUP('Calc-24-cable bundle'!AD12,A50:C58,3,FALSE)&amp;CHAR(10))</f>
        <v/>
      </c>
    </row>
    <row r="78" spans="1:3">
      <c r="B78" s="11">
        <f>IF(OR('Calc-24-cable bundle'!AE12=11,'Calc-24-cable bundle'!AE12=""),1,VLOOKUP('Calc-24-cable bundle'!AE12,A50:C58,2,FALSE))</f>
        <v>1</v>
      </c>
      <c r="C78" s="159" t="str">
        <f>IF(OR('Calc-24-cable bundle'!AE12=11,'Calc-24-cable bundle'!AE12=""),"","Horizontal cable worst case "&amp;VLOOKUP('Calc-24-cable bundle'!AE12,A50:C58,3,FALSE)&amp;CHAR(10))</f>
        <v/>
      </c>
    </row>
    <row r="79" spans="1:3">
      <c r="C79" s="159" t="str">
        <f>IF('Temperature in bundle'!$S$21="","",IF('Temperature in bundle'!$S$21&lt;0.95,"",IF('Temperature in bundle'!$S$21&gt;1,"Channel Insertion Loss exceeds the limit"&amp;CHAR(10),"Channel Insertion Loss is close to the limit"&amp;CHAR(10))))</f>
        <v/>
      </c>
    </row>
    <row r="80" spans="1:3">
      <c r="C80" s="159" t="str">
        <f>IF('Temperature in bundle'!$S$22="","",IF('Temperature in bundle'!$S$22&lt;0.95,"",IF('Temperature in bundle'!$S$22&gt;1,"Permanent Link Insertion Loss exceeds the limit"&amp;CHAR(10),"Permanent Link Insertion Loss is close to the limit"&amp;CHAR(10))))</f>
        <v/>
      </c>
    </row>
    <row r="81" spans="3:3" ht="75" customHeight="1">
      <c r="C81" s="160" t="str">
        <f>IF(C77&amp;C78&amp;C79&amp;C80="","",C$60&amp;C77&amp;C78&amp;C79&amp;C80)</f>
        <v/>
      </c>
    </row>
    <row r="82" spans="3:3">
      <c r="C82" s="160"/>
    </row>
    <row r="83" spans="3:3">
      <c r="C83" s="160"/>
    </row>
    <row r="84" spans="3:3">
      <c r="C84" s="160"/>
    </row>
  </sheetData>
  <mergeCells count="6">
    <mergeCell ref="A76:C76"/>
    <mergeCell ref="A1:C1"/>
    <mergeCell ref="A45:C45"/>
    <mergeCell ref="A49:C49"/>
    <mergeCell ref="A62:C62"/>
    <mergeCell ref="A69:C69"/>
  </mergeCell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DA44C-5666-4954-BB6F-D3E0B29A4977}">
  <sheetPr>
    <tabColor rgb="FFFF0000"/>
  </sheetPr>
  <dimension ref="A1:AF249"/>
  <sheetViews>
    <sheetView workbookViewId="0">
      <selection sqref="A1:B1"/>
    </sheetView>
  </sheetViews>
  <sheetFormatPr defaultColWidth="11.42578125" defaultRowHeight="15"/>
  <cols>
    <col min="1" max="1" width="12.7109375" customWidth="1"/>
    <col min="2" max="7" width="10.7109375" customWidth="1"/>
    <col min="10" max="13" width="15.7109375" customWidth="1"/>
    <col min="15" max="18" width="15.7109375" customWidth="1"/>
    <col min="20" max="23" width="15.7109375" customWidth="1"/>
    <col min="25" max="28" width="15.7109375" customWidth="1"/>
  </cols>
  <sheetData>
    <row r="1" spans="1:32">
      <c r="A1" s="197"/>
      <c r="B1" s="197"/>
      <c r="C1" s="196" t="s">
        <v>291</v>
      </c>
      <c r="D1" s="196"/>
      <c r="E1" s="196" t="s">
        <v>292</v>
      </c>
      <c r="F1" s="196"/>
      <c r="G1" s="196" t="s">
        <v>293</v>
      </c>
      <c r="H1" s="196"/>
      <c r="K1" t="s">
        <v>291</v>
      </c>
      <c r="L1" t="s">
        <v>292</v>
      </c>
      <c r="M1" t="s">
        <v>293</v>
      </c>
      <c r="P1" t="s">
        <v>291</v>
      </c>
      <c r="Q1" t="s">
        <v>292</v>
      </c>
      <c r="R1" t="s">
        <v>293</v>
      </c>
      <c r="U1" t="s">
        <v>291</v>
      </c>
      <c r="V1" t="s">
        <v>292</v>
      </c>
      <c r="W1" t="s">
        <v>293</v>
      </c>
      <c r="Z1" t="s">
        <v>291</v>
      </c>
      <c r="AA1" t="s">
        <v>292</v>
      </c>
      <c r="AB1" t="s">
        <v>293</v>
      </c>
    </row>
    <row r="2" spans="1:32">
      <c r="A2" s="197" t="s">
        <v>294</v>
      </c>
      <c r="B2" s="197"/>
      <c r="C2" s="196" t="str">
        <f>IF('Temperature in bundle'!C8="","",'Temperature in bundle'!C5&amp;"_"&amp;'Temperature in bundle'!C6)</f>
        <v>AWG28/7_Cat.6A STP</v>
      </c>
      <c r="D2" s="196"/>
      <c r="E2" s="196" t="str">
        <f>'Temperature in bundle'!C21</f>
        <v>VDICD116118GHD</v>
      </c>
      <c r="F2" s="196"/>
      <c r="G2" s="196" t="str">
        <f>IF('Temperature in bundle'!C32="","",'Temperature in bundle'!C29&amp;"_"&amp;'Temperature in bundle'!C30)</f>
        <v>AWG28/7_Cat.6A STP</v>
      </c>
      <c r="H2" s="196"/>
      <c r="J2" t="s">
        <v>257</v>
      </c>
      <c r="K2" s="117">
        <f>SUM(L21:L44)*$C17</f>
        <v>0.70794959632374377</v>
      </c>
      <c r="L2" s="117">
        <f>SUM(L51:L249)</f>
        <v>26.669407488697221</v>
      </c>
      <c r="M2" s="117">
        <f>L47</f>
        <v>5.8995799693645302E-2</v>
      </c>
      <c r="O2" t="s">
        <v>257</v>
      </c>
      <c r="P2" s="117">
        <f>SUM(Q21:Q44)*$C17</f>
        <v>0.70962033204067732</v>
      </c>
      <c r="Q2" s="117">
        <f>SUM(Q51:Q249)</f>
        <v>26.72542111116509</v>
      </c>
      <c r="R2" s="117">
        <f>Q47</f>
        <v>5.9039220118717428E-2</v>
      </c>
      <c r="T2" t="s">
        <v>257</v>
      </c>
      <c r="U2" s="117">
        <f>SUM(V21:V44)*$C17</f>
        <v>0.70962425497608339</v>
      </c>
      <c r="V2" s="117">
        <f>SUM(V51:V249)</f>
        <v>26.725538733313076</v>
      </c>
      <c r="W2" s="117">
        <f>V47</f>
        <v>5.9039260486707962E-2</v>
      </c>
      <c r="Y2" t="s">
        <v>257</v>
      </c>
      <c r="Z2" s="117">
        <f>SUM(AA21:AA44)*$C17</f>
        <v>0.70962426415120095</v>
      </c>
      <c r="AA2" s="117">
        <f>SUM(AA51:AA249)</f>
        <v>26.725538980407027</v>
      </c>
      <c r="AB2" s="117">
        <f>AA47</f>
        <v>5.903926053965633E-2</v>
      </c>
    </row>
    <row r="3" spans="1:32">
      <c r="A3" s="197" t="s">
        <v>145</v>
      </c>
      <c r="B3" s="197"/>
      <c r="C3" s="203">
        <f>'Temperature in bundle'!C7</f>
        <v>2</v>
      </c>
      <c r="D3" s="203"/>
      <c r="E3" s="203">
        <f>'Temperature in bundle'!C23</f>
        <v>50</v>
      </c>
      <c r="F3" s="203"/>
      <c r="G3" s="203">
        <f>'Temperature in bundle'!C31</f>
        <v>2</v>
      </c>
      <c r="H3" s="203"/>
      <c r="J3" t="s">
        <v>258</v>
      </c>
      <c r="K3" s="118">
        <f>$C6*K2/$C3/$C5/$C15^0.5/5.182*1000/$C17^0.5</f>
        <v>0.5377901959714575</v>
      </c>
      <c r="L3" s="118">
        <f>$E6*L2/$E3/$E5/$E15^0.5/5.182*1000</f>
        <v>0.40518550908899237</v>
      </c>
      <c r="M3" s="118">
        <f>$G6*M2/$G3/$G5/$G15^0.5/5.182*1000</f>
        <v>0.15524665720583128</v>
      </c>
      <c r="O3" t="s">
        <v>258</v>
      </c>
      <c r="P3" s="118">
        <f>$C6*P2/$C3/$C5/$C15^0.5/5.182*1000/$C17^0.5</f>
        <v>0.53905936159185208</v>
      </c>
      <c r="Q3" s="118">
        <f>$E6*Q2/$E3/$E5/$E15^0.5/5.182*1000</f>
        <v>0.40603651817665887</v>
      </c>
      <c r="R3" s="118">
        <f>$G6*R2/$G3/$G5/$G15^0.5/5.182*1000</f>
        <v>0.15536091747320468</v>
      </c>
      <c r="T3" t="s">
        <v>258</v>
      </c>
      <c r="U3" s="118">
        <f>$C6*U2/$C3/$C5/$C15^0.5/5.182*1000/$C17^0.5</f>
        <v>0.53906234162914812</v>
      </c>
      <c r="V3" s="118">
        <f>$E6*V2/$E3/$E5/$E15^0.5/5.182*1000</f>
        <v>0.40603830519760903</v>
      </c>
      <c r="W3" s="118">
        <f>$G6*W2/$G3/$G5/$G15^0.5/5.182*1000</f>
        <v>0.15536102370103141</v>
      </c>
      <c r="Y3" t="s">
        <v>258</v>
      </c>
      <c r="Z3" s="118">
        <f>$C6*Z2/$C3/$C5/$C15^0.5/5.182*1000/$C17^0.5</f>
        <v>0.53906234859897806</v>
      </c>
      <c r="AA3" s="118">
        <f>$E6*AA2/$E3/$E5/$E15^0.5/5.182*1000</f>
        <v>0.40603830895168147</v>
      </c>
      <c r="AB3" s="118">
        <f>$G6*AB2/$G3/$G5/$G15^0.5/5.182*1000</f>
        <v>0.15536102384036435</v>
      </c>
    </row>
    <row r="4" spans="1:32">
      <c r="A4" s="197" t="s">
        <v>295</v>
      </c>
      <c r="B4" s="197"/>
      <c r="C4" s="196">
        <f>IF(C$2="","",VLOOKUP(C$2,'Cable list'!$C:$R,16,FALSE))</f>
        <v>2.75</v>
      </c>
      <c r="D4" s="196"/>
      <c r="E4" s="196">
        <f>IF(E$2="","",VLOOKUP(E$2,'Cable list'!$C:$R,16,FALSE))</f>
        <v>5</v>
      </c>
      <c r="F4" s="196"/>
      <c r="G4" s="196">
        <f>IF(G$2="","",VLOOKUP(G$2,'Cable list'!$C:$R,16,FALSE))</f>
        <v>2.75</v>
      </c>
      <c r="H4" s="196"/>
      <c r="J4" t="s">
        <v>259</v>
      </c>
      <c r="K4" s="118">
        <f>$C4*K2/$C3/12.6</f>
        <v>7.7256404360726005E-2</v>
      </c>
      <c r="L4" s="118">
        <f>$E4*L2/$E3/12.6</f>
        <v>0.21166196419600969</v>
      </c>
      <c r="M4" s="118">
        <f>$G4*M2/$G3/12.6</f>
        <v>6.4380336967271665E-3</v>
      </c>
      <c r="O4" t="s">
        <v>259</v>
      </c>
      <c r="P4" s="118">
        <f>$C4*P2/$C3/12.6</f>
        <v>7.7438726710788205E-2</v>
      </c>
      <c r="Q4" s="118">
        <f>$E4*Q2/$E3/12.6</f>
        <v>0.21210651675527847</v>
      </c>
      <c r="R4" s="118">
        <f>$G4*R2/$G3/12.6</f>
        <v>6.4427720367647989E-3</v>
      </c>
      <c r="T4" t="s">
        <v>259</v>
      </c>
      <c r="U4" s="118">
        <f>$C4*U2/$C3/12.6</f>
        <v>7.7439154808897986E-2</v>
      </c>
      <c r="V4" s="118">
        <f>$E4*V2/$E3/12.6</f>
        <v>0.21210745026438951</v>
      </c>
      <c r="W4" s="118">
        <f>$G4*W2/$G3/12.6</f>
        <v>6.4427764420018612E-3</v>
      </c>
      <c r="Y4" t="s">
        <v>259</v>
      </c>
      <c r="Z4" s="118">
        <f>$C4*Z2/$C3/12.6</f>
        <v>7.74391558101509E-2</v>
      </c>
      <c r="AA4" s="118">
        <f>$E4*AA2/$E3/12.6</f>
        <v>0.21210745222545258</v>
      </c>
      <c r="AB4" s="118">
        <f>$G4*AB2/$G3/12.6</f>
        <v>6.4427764477799562E-3</v>
      </c>
    </row>
    <row r="5" spans="1:32">
      <c r="A5" s="197" t="s">
        <v>183</v>
      </c>
      <c r="B5" s="197"/>
      <c r="C5" s="204">
        <f>IF(C$2="","",VLOOKUP(C$2,'Cable list'!$C:$R,8,FALSE))</f>
        <v>5.5</v>
      </c>
      <c r="D5" s="204"/>
      <c r="E5" s="204">
        <f>IF(E$2="","",VLOOKUP(E$2,'Cable list'!$C:$R,8,FALSE))</f>
        <v>5.5</v>
      </c>
      <c r="F5" s="204"/>
      <c r="G5" s="204">
        <f>IF(G$2="","",VLOOKUP(G$2,'Cable list'!$C:$R,8,FALSE))</f>
        <v>5.5</v>
      </c>
      <c r="H5" s="204"/>
    </row>
    <row r="6" spans="1:32">
      <c r="A6" s="197" t="s">
        <v>296</v>
      </c>
      <c r="B6" s="197"/>
      <c r="C6" s="196">
        <v>0.15</v>
      </c>
      <c r="D6" s="196"/>
      <c r="E6" s="196">
        <f>IF('Temperature in bundle'!I2="","",VLOOKUP('Temperature in bundle'!I2,'Constant list'!C2:D5,2,FALSE))</f>
        <v>0.15</v>
      </c>
      <c r="F6" s="196"/>
      <c r="G6" s="196">
        <v>0.15</v>
      </c>
      <c r="H6" s="196"/>
      <c r="O6" t="s">
        <v>305</v>
      </c>
      <c r="P6" s="120">
        <f>AVERAGE(O21:O44)</f>
        <v>0.22334481216186652</v>
      </c>
      <c r="Q6" s="120">
        <f>AVERAGE(O51:O249)</f>
        <v>2.1028794810124052</v>
      </c>
      <c r="R6" s="120">
        <f>O47</f>
        <v>0.22298296031139717</v>
      </c>
      <c r="T6" t="s">
        <v>305</v>
      </c>
      <c r="U6" s="120">
        <f>AVERAGE(T21:T44)</f>
        <v>0.22334599773632488</v>
      </c>
      <c r="V6" s="120">
        <f>AVERAGE(T51:T249)</f>
        <v>2.1028882735193499</v>
      </c>
      <c r="W6" s="120">
        <f>T47</f>
        <v>0.22298306373136445</v>
      </c>
      <c r="Y6" t="s">
        <v>305</v>
      </c>
      <c r="Z6" s="120">
        <f>AVERAGE(Y21:Y44)</f>
        <v>0.22334600052008771</v>
      </c>
      <c r="AA6" s="120">
        <f>AVERAGE(Y51:Y249)</f>
        <v>2.1028882919826004</v>
      </c>
      <c r="AB6" s="120">
        <f>Y47</f>
        <v>0.22298306382751404</v>
      </c>
    </row>
    <row r="7" spans="1:32">
      <c r="A7" s="197" t="s">
        <v>226</v>
      </c>
      <c r="B7" s="197"/>
      <c r="C7" s="202">
        <f>IF(C2="","",VLOOKUP(C2,'Cable list'!$C:$R,12,FALSE)*C3/1000)</f>
        <v>0.44568488497361342</v>
      </c>
      <c r="D7" s="202"/>
      <c r="E7" s="202">
        <f>IF(E2="","",VLOOKUP(E2,'Cable list'!$C:$R,12,FALSE)*E3/1000)</f>
        <v>3.8244977876399981</v>
      </c>
      <c r="F7" s="202"/>
      <c r="G7" s="202">
        <f>IF(G2="","",VLOOKUP(G2,'Cable list'!$C:$R,12,FALSE)*G3/1000)</f>
        <v>0.44568488497361342</v>
      </c>
      <c r="H7" s="202"/>
      <c r="O7" t="s">
        <v>306</v>
      </c>
      <c r="P7" s="120">
        <f>$C11+Q6+R6</f>
        <v>2.5258624413238024</v>
      </c>
      <c r="Q7" s="120">
        <f>$C11+R6+P6</f>
        <v>0.64632777247326367</v>
      </c>
      <c r="R7" s="120">
        <f>$C11+P6+Q6</f>
        <v>2.5262242931742716</v>
      </c>
      <c r="T7" t="s">
        <v>306</v>
      </c>
      <c r="U7" s="120">
        <f>$C11+V6+W6</f>
        <v>2.5258713372507144</v>
      </c>
      <c r="V7" s="120">
        <f>$C11+W6+U6</f>
        <v>0.64632906146768931</v>
      </c>
      <c r="W7" s="120">
        <f>$C11+U6+V6</f>
        <v>2.5262342712556749</v>
      </c>
      <c r="Y7" t="s">
        <v>306</v>
      </c>
      <c r="Z7" s="120">
        <f>$C11+AA6+AB6</f>
        <v>2.5258713558101147</v>
      </c>
      <c r="AA7" s="120">
        <f>$C11+AB6+Z6</f>
        <v>0.64632906434760173</v>
      </c>
      <c r="AB7" s="120">
        <f>$C11+Z6+AA6</f>
        <v>2.5262342925026884</v>
      </c>
    </row>
    <row r="8" spans="1:32">
      <c r="A8" s="197" t="s">
        <v>237</v>
      </c>
      <c r="B8" s="197"/>
      <c r="C8" s="201">
        <f>'Temperature in bundle'!C12</f>
        <v>20</v>
      </c>
      <c r="D8" s="201"/>
      <c r="E8" s="201">
        <f>'Temperature in bundle'!C25</f>
        <v>45</v>
      </c>
      <c r="F8" s="201"/>
      <c r="G8" s="201">
        <f>'Temperature in bundle'!C35</f>
        <v>20</v>
      </c>
      <c r="H8" s="201"/>
      <c r="AD8" s="144" t="s">
        <v>308</v>
      </c>
      <c r="AE8" s="144" t="s">
        <v>308</v>
      </c>
    </row>
    <row r="9" spans="1:32">
      <c r="A9" s="197" t="s">
        <v>227</v>
      </c>
      <c r="B9" s="197"/>
      <c r="C9" s="202">
        <f>IF(C7="","",C7*(1+0.0039*(C8-20)))</f>
        <v>0.44568488497361342</v>
      </c>
      <c r="D9" s="202"/>
      <c r="E9" s="202">
        <f t="shared" ref="E9:G9" si="0">IF(E7="","",E7*(1+0.0039*(E8-20)))</f>
        <v>4.1973863219348972</v>
      </c>
      <c r="F9" s="202"/>
      <c r="G9" s="202">
        <f t="shared" si="0"/>
        <v>0.44568488497361342</v>
      </c>
      <c r="H9" s="202"/>
      <c r="K9" s="24"/>
      <c r="Y9" t="s">
        <v>307</v>
      </c>
      <c r="Z9" s="118">
        <f>ROUND(MAX(AB21:AB44),1)</f>
        <v>0.6</v>
      </c>
      <c r="AA9" s="118">
        <f>ROUND(MAX(AB51:AB249),1)</f>
        <v>0.6</v>
      </c>
      <c r="AB9" s="118">
        <f>ROUND(AB47,1)</f>
        <v>0.2</v>
      </c>
      <c r="AD9">
        <f>IF(ISERROR(Z10),1,IF(Z10&lt;=50,1,IF(Z10&gt;60,3,2)))</f>
        <v>1</v>
      </c>
      <c r="AE9" s="144">
        <f>IF(ISERROR(AA10),1,IF(AA10&lt;=50,1,IF(AA10&gt;60,3,2)))</f>
        <v>1</v>
      </c>
    </row>
    <row r="10" spans="1:32">
      <c r="A10" s="197" t="s">
        <v>228</v>
      </c>
      <c r="B10" s="197"/>
      <c r="C10" s="202">
        <f>IF(C9="","",C9*4/'Temperature in bundle'!$Q$8)</f>
        <v>0.22284244248680671</v>
      </c>
      <c r="D10" s="202"/>
      <c r="E10" s="202">
        <f>IF(E9="","",E9*4/'Temperature in bundle'!$Q$8)</f>
        <v>2.0986931609674486</v>
      </c>
      <c r="F10" s="202"/>
      <c r="G10" s="202">
        <f>IF(G9="","",G9*4/'Temperature in bundle'!$Q$8)</f>
        <v>0.22284244248680671</v>
      </c>
      <c r="H10" s="202"/>
      <c r="K10" s="24"/>
      <c r="Y10" t="s">
        <v>308</v>
      </c>
      <c r="Z10" s="112">
        <f>ROUND(Z9+C8,0)</f>
        <v>21</v>
      </c>
      <c r="AA10" s="112">
        <f>ROUND(AA9+E8,0)</f>
        <v>46</v>
      </c>
      <c r="AB10" s="112">
        <f>ROUND(AB9+G8,0)</f>
        <v>20</v>
      </c>
      <c r="AD10" s="144" t="s">
        <v>307</v>
      </c>
      <c r="AE10" s="144" t="s">
        <v>307</v>
      </c>
    </row>
    <row r="11" spans="1:32">
      <c r="A11" s="197" t="s">
        <v>231</v>
      </c>
      <c r="B11" s="197"/>
      <c r="C11" s="199">
        <v>0.2</v>
      </c>
      <c r="D11" s="199"/>
      <c r="E11" s="199"/>
      <c r="F11" s="199"/>
      <c r="G11" s="199"/>
      <c r="H11" s="199"/>
      <c r="Y11" t="s">
        <v>310</v>
      </c>
      <c r="Z11" s="22" t="str">
        <f>Z10&amp;"°C (+"&amp;Z9&amp;"°C)"</f>
        <v>21°C (+0,6°C)</v>
      </c>
      <c r="AA11" s="22" t="str">
        <f>AA10&amp;"°C (+"&amp;AA9&amp;"°C)"</f>
        <v>46°C (+0,6°C)</v>
      </c>
      <c r="AB11" s="22" t="str">
        <f>AB10&amp;"°C (+"&amp;AB9&amp;"°C)"</f>
        <v>20°C (+0,2°C)</v>
      </c>
      <c r="AD11" s="144">
        <f>IF(ISERROR(Z9),1,IF(Z9&lt;=10,1,IF(Z9&gt;15,3,2)))</f>
        <v>1</v>
      </c>
      <c r="AE11" s="144">
        <f>IF(ISERROR(AA9),1,IF(AA9&lt;=10,1,IF(AA9&gt;15,3,2)))</f>
        <v>1</v>
      </c>
    </row>
    <row r="12" spans="1:32">
      <c r="A12" s="197" t="s">
        <v>232</v>
      </c>
      <c r="B12" s="197"/>
      <c r="C12" s="200">
        <f>IF('Temperature in bundle'!$P$4="Current = 1A per pair",2,IF(OR(C10="",E10="",G10="",'Temperature in bundle'!Q7="",'Temperature in bundle'!Q6="",'Temperature in bundle'!Q8=""),"",('Temperature in bundle'!Q6-('Temperature in bundle'!Q6^2-4*SUM(C10:G11)*'Temperature in bundle'!Q7)^0.5)/2/SUM(C10:G11)))</f>
        <v>0.51453105392986931</v>
      </c>
      <c r="D12" s="200"/>
      <c r="E12" s="200"/>
      <c r="F12" s="200"/>
      <c r="G12" s="200"/>
      <c r="H12" s="200"/>
      <c r="AD12">
        <f>AD9*10+AD11</f>
        <v>11</v>
      </c>
      <c r="AE12" s="144">
        <f>AE9*10+AE11</f>
        <v>11</v>
      </c>
    </row>
    <row r="13" spans="1:32">
      <c r="A13" s="197" t="s">
        <v>12</v>
      </c>
      <c r="B13" s="197"/>
      <c r="C13" s="198">
        <f>IF(C$2="","",VLOOKUP(C$2,'Cable list'!$C:$R,13,FALSE))</f>
        <v>0.2</v>
      </c>
      <c r="D13" s="198"/>
      <c r="E13" s="198">
        <f>IF(E$2="","",VLOOKUP(E$2,'Cable list'!$C:$R,13,FALSE))</f>
        <v>0.4</v>
      </c>
      <c r="F13" s="198"/>
      <c r="G13" s="198">
        <f>IF(G$2="","",VLOOKUP(G$2,'Cable list'!$C:$R,13,FALSE))</f>
        <v>0.2</v>
      </c>
      <c r="H13" s="198"/>
      <c r="Y13" t="s">
        <v>311</v>
      </c>
      <c r="Z13">
        <f>IF(C2="","",IF(LEFT(C2,5)="AWG28",1.95,IF(LEFT(C2,5)="AWG26",1.5,"?")))</f>
        <v>1.95</v>
      </c>
      <c r="AA13">
        <f>IF(E2="","",1)</f>
        <v>1</v>
      </c>
      <c r="AB13">
        <f>IF(G2="","",IF(LEFT(G2,5)="AWG28",1.95,IF(LEFT(G2,5)="AWG26",1.5,"?")))</f>
        <v>1.95</v>
      </c>
    </row>
    <row r="14" spans="1:32">
      <c r="A14" s="197" t="s">
        <v>13</v>
      </c>
      <c r="B14" s="197"/>
      <c r="C14" s="198">
        <f>IF(C$2="","",VLOOKUP(C$2,'Cable list'!$C:$R,14,FALSE))</f>
        <v>0.2</v>
      </c>
      <c r="D14" s="198"/>
      <c r="E14" s="198">
        <f>IF(E$2="","",VLOOKUP(E$2,'Cable list'!$C:$R,14,FALSE))</f>
        <v>0.6</v>
      </c>
      <c r="F14" s="198"/>
      <c r="G14" s="198">
        <f>IF(G$2="","",VLOOKUP(G$2,'Cable list'!$C:$R,14,FALSE))</f>
        <v>0.2</v>
      </c>
      <c r="H14" s="198"/>
      <c r="Y14" t="s">
        <v>312</v>
      </c>
      <c r="Z14" s="121">
        <f>Z13*C3/(1-IF((MAX(AB21:AB44)+C8)&lt;40,((MAX(AB21:AB44)+C8)-20)*C13/100,((MAX(AB21:AB44)+C8)-40)*C14/100+20*C13/100))</f>
        <v>3.9047535927962005</v>
      </c>
      <c r="AA14" s="121">
        <f>AA13*E3/(1-IF((MAX(AB51:AB249)+E8)&lt;40,((MAX(AB51:AB249)+E8)-20)*E13/100,((MAX(AB51:AB249)+E8)-40)*E14/100+20*E13/100))</f>
        <v>56.412829566996969</v>
      </c>
      <c r="AB14" s="121">
        <f>AB13*G3/(1-IF((AB47+G8)&lt;40,((AB47+G8)-20)*G13/100,((AB47+G8)-40)*G14/100+20*G13/100))</f>
        <v>3.9012624781897851</v>
      </c>
      <c r="AD14" s="23"/>
      <c r="AE14" s="23"/>
      <c r="AF14" s="23"/>
    </row>
    <row r="15" spans="1:32">
      <c r="A15" s="197" t="s">
        <v>271</v>
      </c>
      <c r="B15" s="197"/>
      <c r="C15" s="196">
        <f>IF(OR('Temperature in bundle'!C11="",'Temperature in bundle'!C11&lt;1,'Temperature in bundle'!C11&gt;24),"",'Temperature in bundle'!C11)</f>
        <v>12</v>
      </c>
      <c r="D15" s="196"/>
      <c r="E15" s="196">
        <f>IF(OR('Temperature in bundle'!C24="",'Temperature in bundle'!C24&lt;1,'Temperature in bundle'!C24&gt;199),"",'Temperature in bundle'!C24)</f>
        <v>48</v>
      </c>
      <c r="F15" s="196"/>
      <c r="G15" s="196">
        <v>1</v>
      </c>
      <c r="H15" s="196"/>
      <c r="Y15" t="s">
        <v>313</v>
      </c>
      <c r="Z15" s="121">
        <f>Z14+AA14+AB14</f>
        <v>64.218845637982952</v>
      </c>
    </row>
    <row r="16" spans="1:32">
      <c r="A16" t="s">
        <v>368</v>
      </c>
      <c r="C16">
        <v>24</v>
      </c>
      <c r="Y16" t="s">
        <v>314</v>
      </c>
      <c r="Z16" s="122">
        <f>Z15/104</f>
        <v>0.61748890036522064</v>
      </c>
      <c r="AA16" t="s">
        <v>315</v>
      </c>
      <c r="AB16" s="122">
        <f>AA14/90</f>
        <v>0.62680921741107742</v>
      </c>
    </row>
    <row r="17" spans="1:28">
      <c r="A17" t="s">
        <v>369</v>
      </c>
      <c r="C17">
        <v>1</v>
      </c>
    </row>
    <row r="18" spans="1:28">
      <c r="Y18" t="s">
        <v>316</v>
      </c>
      <c r="Z18" s="123">
        <f>Z2/C15</f>
        <v>5.9135355345933414E-2</v>
      </c>
      <c r="AA18" s="123">
        <f>AA2/E15</f>
        <v>0.55678206209181302</v>
      </c>
      <c r="AB18" s="123">
        <f>AB2</f>
        <v>5.903926053965633E-2</v>
      </c>
    </row>
    <row r="20" spans="1:28">
      <c r="A20" t="s">
        <v>301</v>
      </c>
      <c r="B20" s="67" t="s">
        <v>261</v>
      </c>
      <c r="C20" s="67" t="s">
        <v>262</v>
      </c>
      <c r="D20" s="67" t="s">
        <v>263</v>
      </c>
      <c r="E20" s="99">
        <f>AVERAGE(E21:E44)</f>
        <v>0.5</v>
      </c>
      <c r="F20" s="99">
        <f>AVERAGE(F21:F44)</f>
        <v>0.28867513459481287</v>
      </c>
      <c r="G20" s="99"/>
      <c r="J20" s="115" t="s">
        <v>228</v>
      </c>
      <c r="K20" s="115" t="s">
        <v>232</v>
      </c>
      <c r="L20" s="11" t="s">
        <v>264</v>
      </c>
      <c r="M20" t="s">
        <v>265</v>
      </c>
      <c r="O20" s="115" t="s">
        <v>302</v>
      </c>
      <c r="P20" s="115" t="s">
        <v>303</v>
      </c>
      <c r="Q20" s="11" t="s">
        <v>304</v>
      </c>
      <c r="R20" t="s">
        <v>265</v>
      </c>
      <c r="T20" s="115" t="s">
        <v>302</v>
      </c>
      <c r="U20" s="115" t="s">
        <v>303</v>
      </c>
      <c r="V20" s="11" t="s">
        <v>304</v>
      </c>
      <c r="W20" t="s">
        <v>265</v>
      </c>
      <c r="Y20" s="115" t="s">
        <v>302</v>
      </c>
      <c r="Z20" s="115" t="s">
        <v>303</v>
      </c>
      <c r="AA20" s="11" t="s">
        <v>304</v>
      </c>
      <c r="AB20" t="s">
        <v>265</v>
      </c>
    </row>
    <row r="21" spans="1:28">
      <c r="A21">
        <v>1</v>
      </c>
      <c r="B21" s="97">
        <v>0</v>
      </c>
      <c r="C21" s="97">
        <v>0</v>
      </c>
      <c r="D21" s="97">
        <f t="shared" ref="D21:D44" si="1">(B21^2+C21^2)^0.5</f>
        <v>0</v>
      </c>
      <c r="E21" s="97">
        <f t="shared" ref="E21:E44" si="2">IF($A21="","",B21)</f>
        <v>0</v>
      </c>
      <c r="F21" s="97">
        <f t="shared" ref="F21:F44" si="3">IF($A21="","",C21)</f>
        <v>0</v>
      </c>
      <c r="G21" s="97">
        <f>IF(A21="","",((E$20-E21)^2+(F$20-F21)^2)^0.5)</f>
        <v>0.57735026918962573</v>
      </c>
      <c r="J21" s="116">
        <f>IF($A21="","",$C$10)</f>
        <v>0.22284244248680671</v>
      </c>
      <c r="K21" s="119">
        <f>IF($A21="","",$C$12)</f>
        <v>0.51453105392986931</v>
      </c>
      <c r="L21" s="98">
        <f>IF($A21="","",J21*K21^2)</f>
        <v>5.8995799693645302E-2</v>
      </c>
      <c r="M21" s="101">
        <f>IF($A21="","",K$3+K$4*(1-3.63*$G21^2/$C$15))</f>
        <v>0.60725657955914358</v>
      </c>
      <c r="O21" s="100">
        <f>IF($A21="","",$J21*(1+0.0039*M21))</f>
        <v>0.22337020039048675</v>
      </c>
      <c r="P21" s="119">
        <f>IF('Temperature in bundle'!$P$4="Current = 1A per pair",2,IF($A21="","",('Temperature in bundle'!$Q$6-('Temperature in bundle'!$Q$6^2-4*(O21+P$7)*'Temperature in bundle'!$Q$7)^0.5)/2/(O21+P$7)))</f>
        <v>0.5145582999497853</v>
      </c>
      <c r="Q21" s="98">
        <f>IF($A21="","",O21*P21^2)</f>
        <v>5.9141782470264095E-2</v>
      </c>
      <c r="R21" s="101">
        <f>IF($A21="","",P$3+P$4*(1-3.63*$G21^2/$C$15))</f>
        <v>0.60868968335930251</v>
      </c>
      <c r="T21" s="100">
        <f>IF($A21="","",$J21*(1+0.0039*R21))</f>
        <v>0.22337144588025631</v>
      </c>
      <c r="U21" s="119">
        <f>IF('Temperature in bundle'!$P$4="Current = 1A per pair",2,IF($A21="","",('Temperature in bundle'!$Q$6-('Temperature in bundle'!$Q$6^2-4*(T21+U$7)*'Temperature in bundle'!$Q$7)^0.5)/2/(T21+U$7)))</f>
        <v>0.51455835687378393</v>
      </c>
      <c r="V21" s="98">
        <f>IF($A21="","",T21*U21^2)</f>
        <v>5.9142125324314218E-2</v>
      </c>
      <c r="W21" s="101">
        <f>IF($A21="","",U$3+U$4*(1-3.63*$G21^2/$C$15))</f>
        <v>0.60869304832814886</v>
      </c>
      <c r="Y21" s="100">
        <f>IF($A21="","",$J21*(1+0.0039*W21))</f>
        <v>0.223371448804702</v>
      </c>
      <c r="Z21" s="119">
        <f>IF('Temperature in bundle'!$P$4="Current = 1A per pair",2,IF($A21="","",('Temperature in bundle'!$Q$6-('Temperature in bundle'!$Q$6^2-4*(Y21+Z$7)*'Temperature in bundle'!$Q$7)^0.5)/2/(Y21+Z$7)))</f>
        <v>0.51455835699437258</v>
      </c>
      <c r="AA21" s="98">
        <f>IF($A21="","",Y21*Z21^2)</f>
        <v>5.9142126126340934E-2</v>
      </c>
      <c r="AB21" s="101">
        <f>IF($A21="","",Z$3+Z$4*(1-3.63*$G21^2/$C$15))</f>
        <v>0.60869305619827208</v>
      </c>
    </row>
    <row r="22" spans="1:28">
      <c r="A22">
        <f>IF(A21&lt;C$15,A21+1,"")</f>
        <v>2</v>
      </c>
      <c r="B22" s="113">
        <v>1</v>
      </c>
      <c r="C22" s="113">
        <v>0</v>
      </c>
      <c r="D22" s="113">
        <f t="shared" si="1"/>
        <v>1</v>
      </c>
      <c r="E22" s="113">
        <f t="shared" si="2"/>
        <v>1</v>
      </c>
      <c r="F22" s="113">
        <f t="shared" si="3"/>
        <v>0</v>
      </c>
      <c r="G22" s="97">
        <f t="shared" ref="G22:G44" si="4">IF(A22="","",((E$20-E22)^2+(F$20-F22)^2)^0.5)</f>
        <v>0.57735026918962573</v>
      </c>
      <c r="J22" s="116">
        <f t="shared" ref="J22:J44" si="5">IF($A22="","",$C$10)</f>
        <v>0.22284244248680671</v>
      </c>
      <c r="K22" s="119">
        <f t="shared" ref="K22:K44" si="6">IF($A22="","",$C$12)</f>
        <v>0.51453105392986931</v>
      </c>
      <c r="L22" s="98">
        <f t="shared" ref="L22:L44" si="7">IF($A22="","",J22*K22^2)</f>
        <v>5.8995799693645302E-2</v>
      </c>
      <c r="M22" s="101">
        <f t="shared" ref="M22:M44" si="8">IF($A22="","",K$3+K$4*(1-3.63*$G22^2/$C$15))</f>
        <v>0.60725657955914358</v>
      </c>
      <c r="O22" s="100">
        <f t="shared" ref="O22:O44" si="9">IF($A22="","",$J22*(1+0.0039*M22))</f>
        <v>0.22337020039048675</v>
      </c>
      <c r="P22" s="119">
        <f>IF('Temperature in bundle'!$P$4="Current = 1A per pair",2,IF($A22="","",('Temperature in bundle'!$Q$6-('Temperature in bundle'!$Q$6^2-4*(O22+P$7)*'Temperature in bundle'!$Q$7)^0.5)/2/(O22+P$7)))</f>
        <v>0.5145582999497853</v>
      </c>
      <c r="Q22" s="98">
        <f t="shared" ref="Q22:Q44" si="10">IF($A22="","",O22*P22^2)</f>
        <v>5.9141782470264095E-2</v>
      </c>
      <c r="R22" s="101">
        <f t="shared" ref="R22:R44" si="11">IF($A22="","",P$3+P$4*(1-3.63*$G22^2/$C$15))</f>
        <v>0.60868968335930251</v>
      </c>
      <c r="T22" s="100">
        <f t="shared" ref="T22:T44" si="12">IF($A22="","",$J22*(1+0.0039*R22))</f>
        <v>0.22337144588025631</v>
      </c>
      <c r="U22" s="119">
        <f>IF('Temperature in bundle'!$P$4="Current = 1A per pair",2,IF($A22="","",('Temperature in bundle'!$Q$6-('Temperature in bundle'!$Q$6^2-4*(T22+U$7)*'Temperature in bundle'!$Q$7)^0.5)/2/(T22+U$7)))</f>
        <v>0.51455835687378393</v>
      </c>
      <c r="V22" s="98">
        <f t="shared" ref="V22:V44" si="13">IF($A22="","",T22*U22^2)</f>
        <v>5.9142125324314218E-2</v>
      </c>
      <c r="W22" s="101">
        <f t="shared" ref="W22:W44" si="14">IF($A22="","",U$3+U$4*(1-3.63*$G22^2/$C$15))</f>
        <v>0.60869304832814886</v>
      </c>
      <c r="Y22" s="100">
        <f t="shared" ref="Y22:Y44" si="15">IF($A22="","",$J22*(1+0.0039*W22))</f>
        <v>0.223371448804702</v>
      </c>
      <c r="Z22" s="119">
        <f>IF('Temperature in bundle'!$P$4="Current = 1A per pair",2,IF($A22="","",('Temperature in bundle'!$Q$6-('Temperature in bundle'!$Q$6^2-4*(Y22+Z$7)*'Temperature in bundle'!$Q$7)^0.5)/2/(Y22+Z$7)))</f>
        <v>0.51455835699437258</v>
      </c>
      <c r="AA22" s="98">
        <f t="shared" ref="AA22:AA44" si="16">IF($A22="","",Y22*Z22^2)</f>
        <v>5.9142126126340934E-2</v>
      </c>
      <c r="AB22" s="101">
        <f t="shared" ref="AB22:AB44" si="17">IF($A22="","",Z$3+Z$4*(1-3.63*$G22^2/$C$15))</f>
        <v>0.60869305619827208</v>
      </c>
    </row>
    <row r="23" spans="1:28">
      <c r="A23">
        <f t="shared" ref="A23:A44" si="18">IF(A22&lt;C$15,A22+1,"")</f>
        <v>3</v>
      </c>
      <c r="B23" s="113">
        <v>0.5</v>
      </c>
      <c r="C23" s="113">
        <f>SQRT(3)/2</f>
        <v>0.8660254037844386</v>
      </c>
      <c r="D23" s="113">
        <f t="shared" si="1"/>
        <v>1</v>
      </c>
      <c r="E23" s="113">
        <f t="shared" si="2"/>
        <v>0.5</v>
      </c>
      <c r="F23" s="113">
        <f t="shared" si="3"/>
        <v>0.8660254037844386</v>
      </c>
      <c r="G23" s="97">
        <f t="shared" si="4"/>
        <v>0.57735026918962573</v>
      </c>
      <c r="J23" s="116">
        <f t="shared" si="5"/>
        <v>0.22284244248680671</v>
      </c>
      <c r="K23" s="119">
        <f t="shared" si="6"/>
        <v>0.51453105392986931</v>
      </c>
      <c r="L23" s="98">
        <f t="shared" si="7"/>
        <v>5.8995799693645302E-2</v>
      </c>
      <c r="M23" s="101">
        <f t="shared" si="8"/>
        <v>0.60725657955914358</v>
      </c>
      <c r="O23" s="100">
        <f t="shared" si="9"/>
        <v>0.22337020039048675</v>
      </c>
      <c r="P23" s="119">
        <f>IF('Temperature in bundle'!$P$4="Current = 1A per pair",2,IF($A23="","",('Temperature in bundle'!$Q$6-('Temperature in bundle'!$Q$6^2-4*(O23+P$7)*'Temperature in bundle'!$Q$7)^0.5)/2/(O23+P$7)))</f>
        <v>0.5145582999497853</v>
      </c>
      <c r="Q23" s="98">
        <f t="shared" si="10"/>
        <v>5.9141782470264095E-2</v>
      </c>
      <c r="R23" s="101">
        <f t="shared" si="11"/>
        <v>0.60868968335930251</v>
      </c>
      <c r="T23" s="100">
        <f t="shared" si="12"/>
        <v>0.22337144588025631</v>
      </c>
      <c r="U23" s="119">
        <f>IF('Temperature in bundle'!$P$4="Current = 1A per pair",2,IF($A23="","",('Temperature in bundle'!$Q$6-('Temperature in bundle'!$Q$6^2-4*(T23+U$7)*'Temperature in bundle'!$Q$7)^0.5)/2/(T23+U$7)))</f>
        <v>0.51455835687378393</v>
      </c>
      <c r="V23" s="98">
        <f t="shared" si="13"/>
        <v>5.9142125324314218E-2</v>
      </c>
      <c r="W23" s="101">
        <f t="shared" si="14"/>
        <v>0.60869304832814886</v>
      </c>
      <c r="Y23" s="100">
        <f t="shared" si="15"/>
        <v>0.223371448804702</v>
      </c>
      <c r="Z23" s="119">
        <f>IF('Temperature in bundle'!$P$4="Current = 1A per pair",2,IF($A23="","",('Temperature in bundle'!$Q$6-('Temperature in bundle'!$Q$6^2-4*(Y23+Z$7)*'Temperature in bundle'!$Q$7)^0.5)/2/(Y23+Z$7)))</f>
        <v>0.51455835699437258</v>
      </c>
      <c r="AA23" s="98">
        <f t="shared" si="16"/>
        <v>5.9142126126340934E-2</v>
      </c>
      <c r="AB23" s="101">
        <f t="shared" si="17"/>
        <v>0.60869305619827208</v>
      </c>
    </row>
    <row r="24" spans="1:28">
      <c r="A24">
        <f t="shared" si="18"/>
        <v>4</v>
      </c>
      <c r="B24" s="113">
        <v>-0.5</v>
      </c>
      <c r="C24" s="113">
        <f>SQRT(3)/2</f>
        <v>0.8660254037844386</v>
      </c>
      <c r="D24" s="113">
        <f t="shared" si="1"/>
        <v>1</v>
      </c>
      <c r="E24" s="113">
        <f t="shared" si="2"/>
        <v>-0.5</v>
      </c>
      <c r="F24" s="113">
        <f t="shared" si="3"/>
        <v>0.8660254037844386</v>
      </c>
      <c r="G24" s="97">
        <f t="shared" si="4"/>
        <v>1.1547005383792515</v>
      </c>
      <c r="J24" s="116">
        <f t="shared" si="5"/>
        <v>0.22284244248680671</v>
      </c>
      <c r="K24" s="119">
        <f t="shared" si="6"/>
        <v>0.51453105392986931</v>
      </c>
      <c r="L24" s="98">
        <f t="shared" si="7"/>
        <v>5.8995799693645302E-2</v>
      </c>
      <c r="M24" s="101">
        <f t="shared" si="8"/>
        <v>0.58388651724002405</v>
      </c>
      <c r="O24" s="100">
        <f t="shared" si="9"/>
        <v>0.22334988980759052</v>
      </c>
      <c r="P24" s="119">
        <f>IF('Temperature in bundle'!$P$4="Current = 1A per pair",2,IF($A24="","",('Temperature in bundle'!$Q$6-('Temperature in bundle'!$Q$6^2-4*(O24+P$7)*'Temperature in bundle'!$Q$7)^0.5)/2/(O24+P$7)))</f>
        <v>0.51455818594610458</v>
      </c>
      <c r="Q24" s="98">
        <f t="shared" si="10"/>
        <v>5.9136378628179775E-2</v>
      </c>
      <c r="R24" s="101">
        <f t="shared" si="11"/>
        <v>0.58526446852928904</v>
      </c>
      <c r="T24" s="100">
        <f t="shared" si="12"/>
        <v>0.22335108736511119</v>
      </c>
      <c r="U24" s="119">
        <f>IF('Temperature in bundle'!$P$4="Current = 1A per pair",2,IF($A24="","",('Temperature in bundle'!$Q$6-('Temperature in bundle'!$Q$6^2-4*(T24+U$7)*'Temperature in bundle'!$Q$7)^0.5)/2/(T24+U$7)))</f>
        <v>0.51455824260100924</v>
      </c>
      <c r="V24" s="98">
        <f t="shared" si="13"/>
        <v>5.9136708728008226E-2</v>
      </c>
      <c r="W24" s="101">
        <f t="shared" si="14"/>
        <v>0.58526770399845729</v>
      </c>
      <c r="Y24" s="100">
        <f t="shared" si="15"/>
        <v>0.2233510901770106</v>
      </c>
      <c r="Z24" s="119">
        <f>IF('Temperature in bundle'!$P$4="Current = 1A per pair",2,IF($A24="","",('Temperature in bundle'!$Q$6-('Temperature in bundle'!$Q$6^2-4*(Y24+Z$7)*'Temperature in bundle'!$Q$7)^0.5)/2/(Y24+Z$7)))</f>
        <v>0.51455824272096606</v>
      </c>
      <c r="AA24" s="98">
        <f t="shared" si="16"/>
        <v>5.9136709500087939E-2</v>
      </c>
      <c r="AB24" s="101">
        <f t="shared" si="17"/>
        <v>0.58526771156570145</v>
      </c>
    </row>
    <row r="25" spans="1:28">
      <c r="A25">
        <f t="shared" si="18"/>
        <v>5</v>
      </c>
      <c r="B25" s="113">
        <v>-1</v>
      </c>
      <c r="C25" s="113">
        <v>0</v>
      </c>
      <c r="D25" s="113">
        <f t="shared" si="1"/>
        <v>1</v>
      </c>
      <c r="E25" s="113">
        <f t="shared" si="2"/>
        <v>-1</v>
      </c>
      <c r="F25" s="113">
        <f t="shared" si="3"/>
        <v>0</v>
      </c>
      <c r="G25" s="97">
        <f t="shared" si="4"/>
        <v>1.5275252316519468</v>
      </c>
      <c r="J25" s="116">
        <f t="shared" si="5"/>
        <v>0.22284244248680671</v>
      </c>
      <c r="K25" s="119">
        <f t="shared" si="6"/>
        <v>0.51453105392986931</v>
      </c>
      <c r="L25" s="98">
        <f t="shared" si="7"/>
        <v>5.8995799693645302E-2</v>
      </c>
      <c r="M25" s="101">
        <f t="shared" si="8"/>
        <v>0.56051645492090441</v>
      </c>
      <c r="O25" s="100">
        <f t="shared" si="9"/>
        <v>0.22332957922469435</v>
      </c>
      <c r="P25" s="119">
        <f>IF('Temperature in bundle'!$P$4="Current = 1A per pair",2,IF($A25="","",('Temperature in bundle'!$Q$6-('Temperature in bundle'!$Q$6^2-4*(O25+P$7)*'Temperature in bundle'!$Q$7)^0.5)/2/(O25+P$7)))</f>
        <v>0.51455807194252778</v>
      </c>
      <c r="Q25" s="98">
        <f t="shared" si="10"/>
        <v>5.9130974790890953E-2</v>
      </c>
      <c r="R25" s="101">
        <f t="shared" si="11"/>
        <v>0.56183925369927556</v>
      </c>
      <c r="T25" s="100">
        <f t="shared" si="12"/>
        <v>0.22333072884996599</v>
      </c>
      <c r="U25" s="119">
        <f>IF('Temperature in bundle'!$P$4="Current = 1A per pair",2,IF($A25="","",('Temperature in bundle'!$Q$6-('Temperature in bundle'!$Q$6^2-4*(T25+U$7)*'Temperature in bundle'!$Q$7)^0.5)/2/(T25+U$7)))</f>
        <v>0.51455812832833447</v>
      </c>
      <c r="V25" s="98">
        <f t="shared" si="13"/>
        <v>5.9131292136519333E-2</v>
      </c>
      <c r="W25" s="101">
        <f t="shared" si="14"/>
        <v>0.56184235966876561</v>
      </c>
      <c r="Y25" s="100">
        <f t="shared" si="15"/>
        <v>0.22333073154931912</v>
      </c>
      <c r="Z25" s="119">
        <f>IF('Temperature in bundle'!$P$4="Current = 1A per pair",2,IF($A25="","",('Temperature in bundle'!$Q$6-('Temperature in bundle'!$Q$6^2-4*(Y25+Z$7)*'Temperature in bundle'!$Q$7)^0.5)/2/(Y25+Z$7)))</f>
        <v>0.51455812844766069</v>
      </c>
      <c r="AA25" s="98">
        <f t="shared" si="16"/>
        <v>5.9131292878652382E-2</v>
      </c>
      <c r="AB25" s="101">
        <f t="shared" si="17"/>
        <v>0.56184236693313072</v>
      </c>
    </row>
    <row r="26" spans="1:28">
      <c r="A26">
        <f t="shared" si="18"/>
        <v>6</v>
      </c>
      <c r="B26" s="113">
        <v>-0.5</v>
      </c>
      <c r="C26" s="113">
        <f>-SQRT(3)/2</f>
        <v>-0.8660254037844386</v>
      </c>
      <c r="D26" s="113">
        <f t="shared" si="1"/>
        <v>1</v>
      </c>
      <c r="E26" s="113">
        <f t="shared" si="2"/>
        <v>-0.5</v>
      </c>
      <c r="F26" s="113">
        <f t="shared" si="3"/>
        <v>-0.8660254037844386</v>
      </c>
      <c r="G26" s="97">
        <f t="shared" si="4"/>
        <v>1.5275252316519465</v>
      </c>
      <c r="J26" s="116">
        <f t="shared" si="5"/>
        <v>0.22284244248680671</v>
      </c>
      <c r="K26" s="119">
        <f t="shared" si="6"/>
        <v>0.51453105392986931</v>
      </c>
      <c r="L26" s="98">
        <f t="shared" si="7"/>
        <v>5.8995799693645302E-2</v>
      </c>
      <c r="M26" s="101">
        <f t="shared" si="8"/>
        <v>0.56051645492090441</v>
      </c>
      <c r="O26" s="100">
        <f t="shared" si="9"/>
        <v>0.22332957922469435</v>
      </c>
      <c r="P26" s="119">
        <f>IF('Temperature in bundle'!$P$4="Current = 1A per pair",2,IF($A26="","",('Temperature in bundle'!$Q$6-('Temperature in bundle'!$Q$6^2-4*(O26+P$7)*'Temperature in bundle'!$Q$7)^0.5)/2/(O26+P$7)))</f>
        <v>0.51455807194252778</v>
      </c>
      <c r="Q26" s="98">
        <f t="shared" si="10"/>
        <v>5.9130974790890953E-2</v>
      </c>
      <c r="R26" s="101">
        <f t="shared" si="11"/>
        <v>0.56183925369927568</v>
      </c>
      <c r="T26" s="100">
        <f t="shared" si="12"/>
        <v>0.22333072884996599</v>
      </c>
      <c r="U26" s="119">
        <f>IF('Temperature in bundle'!$P$4="Current = 1A per pair",2,IF($A26="","",('Temperature in bundle'!$Q$6-('Temperature in bundle'!$Q$6^2-4*(T26+U$7)*'Temperature in bundle'!$Q$7)^0.5)/2/(T26+U$7)))</f>
        <v>0.51455812832833447</v>
      </c>
      <c r="V26" s="98">
        <f t="shared" si="13"/>
        <v>5.9131292136519333E-2</v>
      </c>
      <c r="W26" s="101">
        <f t="shared" si="14"/>
        <v>0.56184235966876561</v>
      </c>
      <c r="Y26" s="100">
        <f t="shared" si="15"/>
        <v>0.22333073154931912</v>
      </c>
      <c r="Z26" s="119">
        <f>IF('Temperature in bundle'!$P$4="Current = 1A per pair",2,IF($A26="","",('Temperature in bundle'!$Q$6-('Temperature in bundle'!$Q$6^2-4*(Y26+Z$7)*'Temperature in bundle'!$Q$7)^0.5)/2/(Y26+Z$7)))</f>
        <v>0.51455812844766069</v>
      </c>
      <c r="AA26" s="98">
        <f t="shared" si="16"/>
        <v>5.9131292878652382E-2</v>
      </c>
      <c r="AB26" s="101">
        <f t="shared" si="17"/>
        <v>0.56184236693313083</v>
      </c>
    </row>
    <row r="27" spans="1:28">
      <c r="A27">
        <f t="shared" si="18"/>
        <v>7</v>
      </c>
      <c r="B27" s="113">
        <v>0.5</v>
      </c>
      <c r="C27" s="113">
        <f>-SQRT(3)/2</f>
        <v>-0.8660254037844386</v>
      </c>
      <c r="D27" s="113">
        <f t="shared" si="1"/>
        <v>1</v>
      </c>
      <c r="E27" s="113">
        <f t="shared" si="2"/>
        <v>0.5</v>
      </c>
      <c r="F27" s="113">
        <f t="shared" si="3"/>
        <v>-0.8660254037844386</v>
      </c>
      <c r="G27" s="97">
        <f t="shared" si="4"/>
        <v>1.1547005383792515</v>
      </c>
      <c r="J27" s="116">
        <f t="shared" si="5"/>
        <v>0.22284244248680671</v>
      </c>
      <c r="K27" s="119">
        <f t="shared" si="6"/>
        <v>0.51453105392986931</v>
      </c>
      <c r="L27" s="98">
        <f t="shared" si="7"/>
        <v>5.8995799693645302E-2</v>
      </c>
      <c r="M27" s="101">
        <f t="shared" si="8"/>
        <v>0.58388651724002405</v>
      </c>
      <c r="O27" s="100">
        <f t="shared" si="9"/>
        <v>0.22334988980759052</v>
      </c>
      <c r="P27" s="119">
        <f>IF('Temperature in bundle'!$P$4="Current = 1A per pair",2,IF($A27="","",('Temperature in bundle'!$Q$6-('Temperature in bundle'!$Q$6^2-4*(O27+P$7)*'Temperature in bundle'!$Q$7)^0.5)/2/(O27+P$7)))</f>
        <v>0.51455818594610458</v>
      </c>
      <c r="Q27" s="98">
        <f t="shared" si="10"/>
        <v>5.9136378628179775E-2</v>
      </c>
      <c r="R27" s="101">
        <f t="shared" si="11"/>
        <v>0.58526446852928904</v>
      </c>
      <c r="T27" s="100">
        <f t="shared" si="12"/>
        <v>0.22335108736511119</v>
      </c>
      <c r="U27" s="119">
        <f>IF('Temperature in bundle'!$P$4="Current = 1A per pair",2,IF($A27="","",('Temperature in bundle'!$Q$6-('Temperature in bundle'!$Q$6^2-4*(T27+U$7)*'Temperature in bundle'!$Q$7)^0.5)/2/(T27+U$7)))</f>
        <v>0.51455824260100924</v>
      </c>
      <c r="V27" s="98">
        <f t="shared" si="13"/>
        <v>5.9136708728008226E-2</v>
      </c>
      <c r="W27" s="101">
        <f t="shared" si="14"/>
        <v>0.58526770399845729</v>
      </c>
      <c r="Y27" s="100">
        <f t="shared" si="15"/>
        <v>0.2233510901770106</v>
      </c>
      <c r="Z27" s="119">
        <f>IF('Temperature in bundle'!$P$4="Current = 1A per pair",2,IF($A27="","",('Temperature in bundle'!$Q$6-('Temperature in bundle'!$Q$6^2-4*(Y27+Z$7)*'Temperature in bundle'!$Q$7)^0.5)/2/(Y27+Z$7)))</f>
        <v>0.51455824272096606</v>
      </c>
      <c r="AA27" s="98">
        <f t="shared" si="16"/>
        <v>5.9136709500087939E-2</v>
      </c>
      <c r="AB27" s="101">
        <f t="shared" si="17"/>
        <v>0.58526771156570145</v>
      </c>
    </row>
    <row r="28" spans="1:28">
      <c r="A28">
        <f t="shared" si="18"/>
        <v>8</v>
      </c>
      <c r="B28" s="113">
        <v>1.5</v>
      </c>
      <c r="C28" s="113">
        <f>-SQRT(3)/2</f>
        <v>-0.8660254037844386</v>
      </c>
      <c r="D28" s="113">
        <f t="shared" si="1"/>
        <v>1.7320508075688772</v>
      </c>
      <c r="E28" s="113">
        <f t="shared" si="2"/>
        <v>1.5</v>
      </c>
      <c r="F28" s="113">
        <f t="shared" si="3"/>
        <v>-0.8660254037844386</v>
      </c>
      <c r="G28" s="97">
        <f t="shared" si="4"/>
        <v>1.5275252316519465</v>
      </c>
      <c r="J28" s="116">
        <f t="shared" si="5"/>
        <v>0.22284244248680671</v>
      </c>
      <c r="K28" s="119">
        <f t="shared" si="6"/>
        <v>0.51453105392986931</v>
      </c>
      <c r="L28" s="98">
        <f t="shared" si="7"/>
        <v>5.8995799693645302E-2</v>
      </c>
      <c r="M28" s="101">
        <f t="shared" si="8"/>
        <v>0.56051645492090441</v>
      </c>
      <c r="O28" s="100">
        <f t="shared" si="9"/>
        <v>0.22332957922469435</v>
      </c>
      <c r="P28" s="119">
        <f>IF('Temperature in bundle'!$P$4="Current = 1A per pair",2,IF($A28="","",('Temperature in bundle'!$Q$6-('Temperature in bundle'!$Q$6^2-4*(O28+P$7)*'Temperature in bundle'!$Q$7)^0.5)/2/(O28+P$7)))</f>
        <v>0.51455807194252778</v>
      </c>
      <c r="Q28" s="98">
        <f t="shared" si="10"/>
        <v>5.9130974790890953E-2</v>
      </c>
      <c r="R28" s="101">
        <f t="shared" si="11"/>
        <v>0.56183925369927568</v>
      </c>
      <c r="T28" s="100">
        <f t="shared" si="12"/>
        <v>0.22333072884996599</v>
      </c>
      <c r="U28" s="119">
        <f>IF('Temperature in bundle'!$P$4="Current = 1A per pair",2,IF($A28="","",('Temperature in bundle'!$Q$6-('Temperature in bundle'!$Q$6^2-4*(T28+U$7)*'Temperature in bundle'!$Q$7)^0.5)/2/(T28+U$7)))</f>
        <v>0.51455812832833447</v>
      </c>
      <c r="V28" s="98">
        <f t="shared" si="13"/>
        <v>5.9131292136519333E-2</v>
      </c>
      <c r="W28" s="101">
        <f t="shared" si="14"/>
        <v>0.56184235966876561</v>
      </c>
      <c r="Y28" s="100">
        <f t="shared" si="15"/>
        <v>0.22333073154931912</v>
      </c>
      <c r="Z28" s="119">
        <f>IF('Temperature in bundle'!$P$4="Current = 1A per pair",2,IF($A28="","",('Temperature in bundle'!$Q$6-('Temperature in bundle'!$Q$6^2-4*(Y28+Z$7)*'Temperature in bundle'!$Q$7)^0.5)/2/(Y28+Z$7)))</f>
        <v>0.51455812844766069</v>
      </c>
      <c r="AA28" s="98">
        <f t="shared" si="16"/>
        <v>5.9131292878652382E-2</v>
      </c>
      <c r="AB28" s="101">
        <f t="shared" si="17"/>
        <v>0.56184236693313083</v>
      </c>
    </row>
    <row r="29" spans="1:28">
      <c r="A29">
        <f t="shared" si="18"/>
        <v>9</v>
      </c>
      <c r="B29" s="113">
        <v>2</v>
      </c>
      <c r="C29" s="113">
        <v>0</v>
      </c>
      <c r="D29" s="113">
        <f t="shared" si="1"/>
        <v>2</v>
      </c>
      <c r="E29" s="113">
        <f t="shared" si="2"/>
        <v>2</v>
      </c>
      <c r="F29" s="113">
        <f t="shared" si="3"/>
        <v>0</v>
      </c>
      <c r="G29" s="97">
        <f t="shared" si="4"/>
        <v>1.5275252316519468</v>
      </c>
      <c r="J29" s="116">
        <f t="shared" si="5"/>
        <v>0.22284244248680671</v>
      </c>
      <c r="K29" s="119">
        <f t="shared" si="6"/>
        <v>0.51453105392986931</v>
      </c>
      <c r="L29" s="98">
        <f t="shared" si="7"/>
        <v>5.8995799693645302E-2</v>
      </c>
      <c r="M29" s="101">
        <f t="shared" si="8"/>
        <v>0.56051645492090441</v>
      </c>
      <c r="O29" s="100">
        <f t="shared" si="9"/>
        <v>0.22332957922469435</v>
      </c>
      <c r="P29" s="119">
        <f>IF('Temperature in bundle'!$P$4="Current = 1A per pair",2,IF($A29="","",('Temperature in bundle'!$Q$6-('Temperature in bundle'!$Q$6^2-4*(O29+P$7)*'Temperature in bundle'!$Q$7)^0.5)/2/(O29+P$7)))</f>
        <v>0.51455807194252778</v>
      </c>
      <c r="Q29" s="98">
        <f t="shared" si="10"/>
        <v>5.9130974790890953E-2</v>
      </c>
      <c r="R29" s="101">
        <f t="shared" si="11"/>
        <v>0.56183925369927556</v>
      </c>
      <c r="T29" s="100">
        <f t="shared" si="12"/>
        <v>0.22333072884996599</v>
      </c>
      <c r="U29" s="119">
        <f>IF('Temperature in bundle'!$P$4="Current = 1A per pair",2,IF($A29="","",('Temperature in bundle'!$Q$6-('Temperature in bundle'!$Q$6^2-4*(T29+U$7)*'Temperature in bundle'!$Q$7)^0.5)/2/(T29+U$7)))</f>
        <v>0.51455812832833447</v>
      </c>
      <c r="V29" s="98">
        <f t="shared" si="13"/>
        <v>5.9131292136519333E-2</v>
      </c>
      <c r="W29" s="101">
        <f t="shared" si="14"/>
        <v>0.56184235966876561</v>
      </c>
      <c r="Y29" s="100">
        <f t="shared" si="15"/>
        <v>0.22333073154931912</v>
      </c>
      <c r="Z29" s="119">
        <f>IF('Temperature in bundle'!$P$4="Current = 1A per pair",2,IF($A29="","",('Temperature in bundle'!$Q$6-('Temperature in bundle'!$Q$6^2-4*(Y29+Z$7)*'Temperature in bundle'!$Q$7)^0.5)/2/(Y29+Z$7)))</f>
        <v>0.51455812844766069</v>
      </c>
      <c r="AA29" s="98">
        <f t="shared" si="16"/>
        <v>5.9131292878652382E-2</v>
      </c>
      <c r="AB29" s="101">
        <f t="shared" si="17"/>
        <v>0.56184236693313072</v>
      </c>
    </row>
    <row r="30" spans="1:28">
      <c r="A30">
        <f t="shared" si="18"/>
        <v>10</v>
      </c>
      <c r="B30" s="113">
        <v>1.5</v>
      </c>
      <c r="C30" s="113">
        <f>SQRT(3)/2</f>
        <v>0.8660254037844386</v>
      </c>
      <c r="D30" s="113">
        <f t="shared" si="1"/>
        <v>1.7320508075688772</v>
      </c>
      <c r="E30" s="113">
        <f t="shared" si="2"/>
        <v>1.5</v>
      </c>
      <c r="F30" s="113">
        <f t="shared" si="3"/>
        <v>0.8660254037844386</v>
      </c>
      <c r="G30" s="97">
        <f t="shared" si="4"/>
        <v>1.1547005383792515</v>
      </c>
      <c r="J30" s="116">
        <f t="shared" si="5"/>
        <v>0.22284244248680671</v>
      </c>
      <c r="K30" s="119">
        <f t="shared" si="6"/>
        <v>0.51453105392986931</v>
      </c>
      <c r="L30" s="98">
        <f t="shared" si="7"/>
        <v>5.8995799693645302E-2</v>
      </c>
      <c r="M30" s="101">
        <f t="shared" si="8"/>
        <v>0.58388651724002405</v>
      </c>
      <c r="O30" s="100">
        <f t="shared" si="9"/>
        <v>0.22334988980759052</v>
      </c>
      <c r="P30" s="119">
        <f>IF('Temperature in bundle'!$P$4="Current = 1A per pair",2,IF($A30="","",('Temperature in bundle'!$Q$6-('Temperature in bundle'!$Q$6^2-4*(O30+P$7)*'Temperature in bundle'!$Q$7)^0.5)/2/(O30+P$7)))</f>
        <v>0.51455818594610458</v>
      </c>
      <c r="Q30" s="98">
        <f t="shared" si="10"/>
        <v>5.9136378628179775E-2</v>
      </c>
      <c r="R30" s="101">
        <f t="shared" si="11"/>
        <v>0.58526446852928904</v>
      </c>
      <c r="T30" s="100">
        <f t="shared" si="12"/>
        <v>0.22335108736511119</v>
      </c>
      <c r="U30" s="119">
        <f>IF('Temperature in bundle'!$P$4="Current = 1A per pair",2,IF($A30="","",('Temperature in bundle'!$Q$6-('Temperature in bundle'!$Q$6^2-4*(T30+U$7)*'Temperature in bundle'!$Q$7)^0.5)/2/(T30+U$7)))</f>
        <v>0.51455824260100924</v>
      </c>
      <c r="V30" s="98">
        <f t="shared" si="13"/>
        <v>5.9136708728008226E-2</v>
      </c>
      <c r="W30" s="101">
        <f t="shared" si="14"/>
        <v>0.58526770399845729</v>
      </c>
      <c r="Y30" s="100">
        <f t="shared" si="15"/>
        <v>0.2233510901770106</v>
      </c>
      <c r="Z30" s="119">
        <f>IF('Temperature in bundle'!$P$4="Current = 1A per pair",2,IF($A30="","",('Temperature in bundle'!$Q$6-('Temperature in bundle'!$Q$6^2-4*(Y30+Z$7)*'Temperature in bundle'!$Q$7)^0.5)/2/(Y30+Z$7)))</f>
        <v>0.51455824272096606</v>
      </c>
      <c r="AA30" s="98">
        <f t="shared" si="16"/>
        <v>5.9136709500087939E-2</v>
      </c>
      <c r="AB30" s="101">
        <f t="shared" si="17"/>
        <v>0.58526771156570145</v>
      </c>
    </row>
    <row r="31" spans="1:28">
      <c r="A31">
        <f t="shared" si="18"/>
        <v>11</v>
      </c>
      <c r="B31" s="113">
        <v>1</v>
      </c>
      <c r="C31" s="113">
        <f>SQRT(3)</f>
        <v>1.7320508075688772</v>
      </c>
      <c r="D31" s="113">
        <f t="shared" si="1"/>
        <v>2</v>
      </c>
      <c r="E31" s="113">
        <f t="shared" si="2"/>
        <v>1</v>
      </c>
      <c r="F31" s="113">
        <f t="shared" si="3"/>
        <v>1.7320508075688772</v>
      </c>
      <c r="G31" s="97">
        <f t="shared" si="4"/>
        <v>1.5275252316519465</v>
      </c>
      <c r="J31" s="116">
        <f t="shared" si="5"/>
        <v>0.22284244248680671</v>
      </c>
      <c r="K31" s="119">
        <f t="shared" si="6"/>
        <v>0.51453105392986931</v>
      </c>
      <c r="L31" s="98">
        <f t="shared" si="7"/>
        <v>5.8995799693645302E-2</v>
      </c>
      <c r="M31" s="101">
        <f t="shared" si="8"/>
        <v>0.56051645492090441</v>
      </c>
      <c r="O31" s="100">
        <f t="shared" si="9"/>
        <v>0.22332957922469435</v>
      </c>
      <c r="P31" s="119">
        <f>IF('Temperature in bundle'!$P$4="Current = 1A per pair",2,IF($A31="","",('Temperature in bundle'!$Q$6-('Temperature in bundle'!$Q$6^2-4*(O31+P$7)*'Temperature in bundle'!$Q$7)^0.5)/2/(O31+P$7)))</f>
        <v>0.51455807194252778</v>
      </c>
      <c r="Q31" s="98">
        <f t="shared" si="10"/>
        <v>5.9130974790890953E-2</v>
      </c>
      <c r="R31" s="101">
        <f t="shared" si="11"/>
        <v>0.56183925369927568</v>
      </c>
      <c r="T31" s="100">
        <f t="shared" si="12"/>
        <v>0.22333072884996599</v>
      </c>
      <c r="U31" s="119">
        <f>IF('Temperature in bundle'!$P$4="Current = 1A per pair",2,IF($A31="","",('Temperature in bundle'!$Q$6-('Temperature in bundle'!$Q$6^2-4*(T31+U$7)*'Temperature in bundle'!$Q$7)^0.5)/2/(T31+U$7)))</f>
        <v>0.51455812832833447</v>
      </c>
      <c r="V31" s="98">
        <f t="shared" si="13"/>
        <v>5.9131292136519333E-2</v>
      </c>
      <c r="W31" s="101">
        <f t="shared" si="14"/>
        <v>0.56184235966876561</v>
      </c>
      <c r="Y31" s="100">
        <f t="shared" si="15"/>
        <v>0.22333073154931912</v>
      </c>
      <c r="Z31" s="119">
        <f>IF('Temperature in bundle'!$P$4="Current = 1A per pair",2,IF($A31="","",('Temperature in bundle'!$Q$6-('Temperature in bundle'!$Q$6^2-4*(Y31+Z$7)*'Temperature in bundle'!$Q$7)^0.5)/2/(Y31+Z$7)))</f>
        <v>0.51455812844766069</v>
      </c>
      <c r="AA31" s="98">
        <f t="shared" si="16"/>
        <v>5.9131292878652382E-2</v>
      </c>
      <c r="AB31" s="101">
        <f t="shared" si="17"/>
        <v>0.56184236693313083</v>
      </c>
    </row>
    <row r="32" spans="1:28">
      <c r="A32">
        <f t="shared" si="18"/>
        <v>12</v>
      </c>
      <c r="B32" s="113">
        <v>0</v>
      </c>
      <c r="C32" s="113">
        <f>SQRT(3)</f>
        <v>1.7320508075688772</v>
      </c>
      <c r="D32" s="113">
        <f t="shared" si="1"/>
        <v>1.7320508075688772</v>
      </c>
      <c r="E32" s="113">
        <f t="shared" si="2"/>
        <v>0</v>
      </c>
      <c r="F32" s="113">
        <f t="shared" si="3"/>
        <v>1.7320508075688772</v>
      </c>
      <c r="G32" s="97">
        <f t="shared" si="4"/>
        <v>1.5275252316519465</v>
      </c>
      <c r="J32" s="116">
        <f t="shared" si="5"/>
        <v>0.22284244248680671</v>
      </c>
      <c r="K32" s="119">
        <f t="shared" si="6"/>
        <v>0.51453105392986931</v>
      </c>
      <c r="L32" s="98">
        <f t="shared" si="7"/>
        <v>5.8995799693645302E-2</v>
      </c>
      <c r="M32" s="101">
        <f t="shared" si="8"/>
        <v>0.56051645492090441</v>
      </c>
      <c r="O32" s="100">
        <f t="shared" si="9"/>
        <v>0.22332957922469435</v>
      </c>
      <c r="P32" s="119">
        <f>IF('Temperature in bundle'!$P$4="Current = 1A per pair",2,IF($A32="","",('Temperature in bundle'!$Q$6-('Temperature in bundle'!$Q$6^2-4*(O32+P$7)*'Temperature in bundle'!$Q$7)^0.5)/2/(O32+P$7)))</f>
        <v>0.51455807194252778</v>
      </c>
      <c r="Q32" s="98">
        <f t="shared" si="10"/>
        <v>5.9130974790890953E-2</v>
      </c>
      <c r="R32" s="101">
        <f t="shared" si="11"/>
        <v>0.56183925369927568</v>
      </c>
      <c r="T32" s="100">
        <f t="shared" si="12"/>
        <v>0.22333072884996599</v>
      </c>
      <c r="U32" s="119">
        <f>IF('Temperature in bundle'!$P$4="Current = 1A per pair",2,IF($A32="","",('Temperature in bundle'!$Q$6-('Temperature in bundle'!$Q$6^2-4*(T32+U$7)*'Temperature in bundle'!$Q$7)^0.5)/2/(T32+U$7)))</f>
        <v>0.51455812832833447</v>
      </c>
      <c r="V32" s="98">
        <f t="shared" si="13"/>
        <v>5.9131292136519333E-2</v>
      </c>
      <c r="W32" s="101">
        <f t="shared" si="14"/>
        <v>0.56184235966876561</v>
      </c>
      <c r="Y32" s="100">
        <f t="shared" si="15"/>
        <v>0.22333073154931912</v>
      </c>
      <c r="Z32" s="119">
        <f>IF('Temperature in bundle'!$P$4="Current = 1A per pair",2,IF($A32="","",('Temperature in bundle'!$Q$6-('Temperature in bundle'!$Q$6^2-4*(Y32+Z$7)*'Temperature in bundle'!$Q$7)^0.5)/2/(Y32+Z$7)))</f>
        <v>0.51455812844766069</v>
      </c>
      <c r="AA32" s="98">
        <f t="shared" si="16"/>
        <v>5.9131292878652382E-2</v>
      </c>
      <c r="AB32" s="101">
        <f t="shared" si="17"/>
        <v>0.56184236693313083</v>
      </c>
    </row>
    <row r="33" spans="1:28">
      <c r="A33" t="str">
        <f t="shared" si="18"/>
        <v/>
      </c>
      <c r="B33" s="113">
        <v>-1</v>
      </c>
      <c r="C33" s="113">
        <f>SQRT(3)</f>
        <v>1.7320508075688772</v>
      </c>
      <c r="D33" s="113">
        <f t="shared" si="1"/>
        <v>2</v>
      </c>
      <c r="E33" s="113" t="str">
        <f t="shared" si="2"/>
        <v/>
      </c>
      <c r="F33" s="113" t="str">
        <f t="shared" si="3"/>
        <v/>
      </c>
      <c r="G33" s="97" t="str">
        <f t="shared" si="4"/>
        <v/>
      </c>
      <c r="J33" s="116" t="str">
        <f t="shared" si="5"/>
        <v/>
      </c>
      <c r="K33" s="119" t="str">
        <f t="shared" si="6"/>
        <v/>
      </c>
      <c r="L33" s="98" t="str">
        <f t="shared" si="7"/>
        <v/>
      </c>
      <c r="M33" s="101" t="str">
        <f t="shared" si="8"/>
        <v/>
      </c>
      <c r="O33" s="100" t="str">
        <f t="shared" si="9"/>
        <v/>
      </c>
      <c r="P33" s="119" t="str">
        <f>IF('Temperature in bundle'!$P$4="Current = 1A per pair",2,IF($A33="","",('Temperature in bundle'!$Q$6-('Temperature in bundle'!$Q$6^2-4*(O33+P$7)*'Temperature in bundle'!$Q$7)^0.5)/2/(O33+P$7)))</f>
        <v/>
      </c>
      <c r="Q33" s="98" t="str">
        <f t="shared" si="10"/>
        <v/>
      </c>
      <c r="R33" s="101" t="str">
        <f t="shared" si="11"/>
        <v/>
      </c>
      <c r="T33" s="100" t="str">
        <f t="shared" si="12"/>
        <v/>
      </c>
      <c r="U33" s="119" t="str">
        <f>IF('Temperature in bundle'!$P$4="Current = 1A per pair",2,IF($A33="","",('Temperature in bundle'!$Q$6-('Temperature in bundle'!$Q$6^2-4*(T33+U$7)*'Temperature in bundle'!$Q$7)^0.5)/2/(T33+U$7)))</f>
        <v/>
      </c>
      <c r="V33" s="98" t="str">
        <f t="shared" si="13"/>
        <v/>
      </c>
      <c r="W33" s="101" t="str">
        <f t="shared" si="14"/>
        <v/>
      </c>
      <c r="Y33" s="100" t="str">
        <f t="shared" si="15"/>
        <v/>
      </c>
      <c r="Z33" s="119" t="str">
        <f>IF('Temperature in bundle'!$P$4="Current = 1A per pair",2,IF($A33="","",('Temperature in bundle'!$Q$6-('Temperature in bundle'!$Q$6^2-4*(Y33+Z$7)*'Temperature in bundle'!$Q$7)^0.5)/2/(Y33+Z$7)))</f>
        <v/>
      </c>
      <c r="AA33" s="98" t="str">
        <f t="shared" si="16"/>
        <v/>
      </c>
      <c r="AB33" s="101" t="str">
        <f t="shared" si="17"/>
        <v/>
      </c>
    </row>
    <row r="34" spans="1:28">
      <c r="A34" t="str">
        <f t="shared" si="18"/>
        <v/>
      </c>
      <c r="B34" s="113">
        <v>-1.5</v>
      </c>
      <c r="C34" s="113">
        <f>SQRT(3)/2</f>
        <v>0.8660254037844386</v>
      </c>
      <c r="D34" s="113">
        <f t="shared" si="1"/>
        <v>1.7320508075688772</v>
      </c>
      <c r="E34" s="113" t="str">
        <f t="shared" si="2"/>
        <v/>
      </c>
      <c r="F34" s="113" t="str">
        <f t="shared" si="3"/>
        <v/>
      </c>
      <c r="G34" s="97" t="str">
        <f t="shared" si="4"/>
        <v/>
      </c>
      <c r="J34" s="116" t="str">
        <f t="shared" si="5"/>
        <v/>
      </c>
      <c r="K34" s="119" t="str">
        <f t="shared" si="6"/>
        <v/>
      </c>
      <c r="L34" s="98" t="str">
        <f t="shared" si="7"/>
        <v/>
      </c>
      <c r="M34" s="101" t="str">
        <f t="shared" si="8"/>
        <v/>
      </c>
      <c r="O34" s="100" t="str">
        <f t="shared" si="9"/>
        <v/>
      </c>
      <c r="P34" s="119" t="str">
        <f>IF('Temperature in bundle'!$P$4="Current = 1A per pair",2,IF($A34="","",('Temperature in bundle'!$Q$6-('Temperature in bundle'!$Q$6^2-4*(O34+P$7)*'Temperature in bundle'!$Q$7)^0.5)/2/(O34+P$7)))</f>
        <v/>
      </c>
      <c r="Q34" s="98" t="str">
        <f t="shared" si="10"/>
        <v/>
      </c>
      <c r="R34" s="101" t="str">
        <f t="shared" si="11"/>
        <v/>
      </c>
      <c r="T34" s="100" t="str">
        <f t="shared" si="12"/>
        <v/>
      </c>
      <c r="U34" s="119" t="str">
        <f>IF('Temperature in bundle'!$P$4="Current = 1A per pair",2,IF($A34="","",('Temperature in bundle'!$Q$6-('Temperature in bundle'!$Q$6^2-4*(T34+U$7)*'Temperature in bundle'!$Q$7)^0.5)/2/(T34+U$7)))</f>
        <v/>
      </c>
      <c r="V34" s="98" t="str">
        <f t="shared" si="13"/>
        <v/>
      </c>
      <c r="W34" s="101" t="str">
        <f t="shared" si="14"/>
        <v/>
      </c>
      <c r="Y34" s="100" t="str">
        <f t="shared" si="15"/>
        <v/>
      </c>
      <c r="Z34" s="119" t="str">
        <f>IF('Temperature in bundle'!$P$4="Current = 1A per pair",2,IF($A34="","",('Temperature in bundle'!$Q$6-('Temperature in bundle'!$Q$6^2-4*(Y34+Z$7)*'Temperature in bundle'!$Q$7)^0.5)/2/(Y34+Z$7)))</f>
        <v/>
      </c>
      <c r="AA34" s="98" t="str">
        <f t="shared" si="16"/>
        <v/>
      </c>
      <c r="AB34" s="101" t="str">
        <f t="shared" si="17"/>
        <v/>
      </c>
    </row>
    <row r="35" spans="1:28">
      <c r="A35" t="str">
        <f t="shared" si="18"/>
        <v/>
      </c>
      <c r="B35" s="113">
        <v>-2</v>
      </c>
      <c r="C35" s="113">
        <v>0</v>
      </c>
      <c r="D35" s="113">
        <f t="shared" si="1"/>
        <v>2</v>
      </c>
      <c r="E35" s="113" t="str">
        <f t="shared" si="2"/>
        <v/>
      </c>
      <c r="F35" s="113" t="str">
        <f t="shared" si="3"/>
        <v/>
      </c>
      <c r="G35" s="97" t="str">
        <f t="shared" si="4"/>
        <v/>
      </c>
      <c r="J35" s="116" t="str">
        <f t="shared" si="5"/>
        <v/>
      </c>
      <c r="K35" s="119" t="str">
        <f t="shared" si="6"/>
        <v/>
      </c>
      <c r="L35" s="98" t="str">
        <f t="shared" si="7"/>
        <v/>
      </c>
      <c r="M35" s="101" t="str">
        <f t="shared" si="8"/>
        <v/>
      </c>
      <c r="O35" s="100" t="str">
        <f t="shared" si="9"/>
        <v/>
      </c>
      <c r="P35" s="119" t="str">
        <f>IF('Temperature in bundle'!$P$4="Current = 1A per pair",2,IF($A35="","",('Temperature in bundle'!$Q$6-('Temperature in bundle'!$Q$6^2-4*(O35+P$7)*'Temperature in bundle'!$Q$7)^0.5)/2/(O35+P$7)))</f>
        <v/>
      </c>
      <c r="Q35" s="98" t="str">
        <f t="shared" si="10"/>
        <v/>
      </c>
      <c r="R35" s="101" t="str">
        <f t="shared" si="11"/>
        <v/>
      </c>
      <c r="T35" s="100" t="str">
        <f t="shared" si="12"/>
        <v/>
      </c>
      <c r="U35" s="119" t="str">
        <f>IF('Temperature in bundle'!$P$4="Current = 1A per pair",2,IF($A35="","",('Temperature in bundle'!$Q$6-('Temperature in bundle'!$Q$6^2-4*(T35+U$7)*'Temperature in bundle'!$Q$7)^0.5)/2/(T35+U$7)))</f>
        <v/>
      </c>
      <c r="V35" s="98" t="str">
        <f t="shared" si="13"/>
        <v/>
      </c>
      <c r="W35" s="101" t="str">
        <f t="shared" si="14"/>
        <v/>
      </c>
      <c r="Y35" s="100" t="str">
        <f t="shared" si="15"/>
        <v/>
      </c>
      <c r="Z35" s="119" t="str">
        <f>IF('Temperature in bundle'!$P$4="Current = 1A per pair",2,IF($A35="","",('Temperature in bundle'!$Q$6-('Temperature in bundle'!$Q$6^2-4*(Y35+Z$7)*'Temperature in bundle'!$Q$7)^0.5)/2/(Y35+Z$7)))</f>
        <v/>
      </c>
      <c r="AA35" s="98" t="str">
        <f t="shared" si="16"/>
        <v/>
      </c>
      <c r="AB35" s="101" t="str">
        <f t="shared" si="17"/>
        <v/>
      </c>
    </row>
    <row r="36" spans="1:28">
      <c r="A36" t="str">
        <f t="shared" si="18"/>
        <v/>
      </c>
      <c r="B36" s="113">
        <v>-1.5</v>
      </c>
      <c r="C36" s="113">
        <f>-SQRT(3)/2</f>
        <v>-0.8660254037844386</v>
      </c>
      <c r="D36" s="113">
        <f t="shared" si="1"/>
        <v>1.7320508075688772</v>
      </c>
      <c r="E36" s="113" t="str">
        <f t="shared" si="2"/>
        <v/>
      </c>
      <c r="F36" s="113" t="str">
        <f t="shared" si="3"/>
        <v/>
      </c>
      <c r="G36" s="97" t="str">
        <f t="shared" si="4"/>
        <v/>
      </c>
      <c r="J36" s="116" t="str">
        <f t="shared" si="5"/>
        <v/>
      </c>
      <c r="K36" s="119" t="str">
        <f t="shared" si="6"/>
        <v/>
      </c>
      <c r="L36" s="98" t="str">
        <f t="shared" si="7"/>
        <v/>
      </c>
      <c r="M36" s="101" t="str">
        <f t="shared" si="8"/>
        <v/>
      </c>
      <c r="O36" s="100" t="str">
        <f t="shared" si="9"/>
        <v/>
      </c>
      <c r="P36" s="119" t="str">
        <f>IF('Temperature in bundle'!$P$4="Current = 1A per pair",2,IF($A36="","",('Temperature in bundle'!$Q$6-('Temperature in bundle'!$Q$6^2-4*(O36+P$7)*'Temperature in bundle'!$Q$7)^0.5)/2/(O36+P$7)))</f>
        <v/>
      </c>
      <c r="Q36" s="98" t="str">
        <f t="shared" si="10"/>
        <v/>
      </c>
      <c r="R36" s="101" t="str">
        <f t="shared" si="11"/>
        <v/>
      </c>
      <c r="T36" s="100" t="str">
        <f t="shared" si="12"/>
        <v/>
      </c>
      <c r="U36" s="119" t="str">
        <f>IF('Temperature in bundle'!$P$4="Current = 1A per pair",2,IF($A36="","",('Temperature in bundle'!$Q$6-('Temperature in bundle'!$Q$6^2-4*(T36+U$7)*'Temperature in bundle'!$Q$7)^0.5)/2/(T36+U$7)))</f>
        <v/>
      </c>
      <c r="V36" s="98" t="str">
        <f t="shared" si="13"/>
        <v/>
      </c>
      <c r="W36" s="101" t="str">
        <f t="shared" si="14"/>
        <v/>
      </c>
      <c r="Y36" s="100" t="str">
        <f t="shared" si="15"/>
        <v/>
      </c>
      <c r="Z36" s="119" t="str">
        <f>IF('Temperature in bundle'!$P$4="Current = 1A per pair",2,IF($A36="","",('Temperature in bundle'!$Q$6-('Temperature in bundle'!$Q$6^2-4*(Y36+Z$7)*'Temperature in bundle'!$Q$7)^0.5)/2/(Y36+Z$7)))</f>
        <v/>
      </c>
      <c r="AA36" s="98" t="str">
        <f t="shared" si="16"/>
        <v/>
      </c>
      <c r="AB36" s="101" t="str">
        <f t="shared" si="17"/>
        <v/>
      </c>
    </row>
    <row r="37" spans="1:28">
      <c r="A37" t="str">
        <f t="shared" si="18"/>
        <v/>
      </c>
      <c r="B37" s="113">
        <v>-1</v>
      </c>
      <c r="C37" s="113">
        <f>-SQRT(3)</f>
        <v>-1.7320508075688772</v>
      </c>
      <c r="D37" s="113">
        <f t="shared" si="1"/>
        <v>2</v>
      </c>
      <c r="E37" s="113" t="str">
        <f t="shared" si="2"/>
        <v/>
      </c>
      <c r="F37" s="113" t="str">
        <f t="shared" si="3"/>
        <v/>
      </c>
      <c r="G37" s="97" t="str">
        <f t="shared" si="4"/>
        <v/>
      </c>
      <c r="J37" s="116" t="str">
        <f t="shared" si="5"/>
        <v/>
      </c>
      <c r="K37" s="119" t="str">
        <f t="shared" si="6"/>
        <v/>
      </c>
      <c r="L37" s="98" t="str">
        <f t="shared" si="7"/>
        <v/>
      </c>
      <c r="M37" s="101" t="str">
        <f t="shared" si="8"/>
        <v/>
      </c>
      <c r="O37" s="100" t="str">
        <f t="shared" si="9"/>
        <v/>
      </c>
      <c r="P37" s="119" t="str">
        <f>IF('Temperature in bundle'!$P$4="Current = 1A per pair",2,IF($A37="","",('Temperature in bundle'!$Q$6-('Temperature in bundle'!$Q$6^2-4*(O37+P$7)*'Temperature in bundle'!$Q$7)^0.5)/2/(O37+P$7)))</f>
        <v/>
      </c>
      <c r="Q37" s="98" t="str">
        <f t="shared" si="10"/>
        <v/>
      </c>
      <c r="R37" s="101" t="str">
        <f t="shared" si="11"/>
        <v/>
      </c>
      <c r="T37" s="100" t="str">
        <f t="shared" si="12"/>
        <v/>
      </c>
      <c r="U37" s="119" t="str">
        <f>IF('Temperature in bundle'!$P$4="Current = 1A per pair",2,IF($A37="","",('Temperature in bundle'!$Q$6-('Temperature in bundle'!$Q$6^2-4*(T37+U$7)*'Temperature in bundle'!$Q$7)^0.5)/2/(T37+U$7)))</f>
        <v/>
      </c>
      <c r="V37" s="98" t="str">
        <f t="shared" si="13"/>
        <v/>
      </c>
      <c r="W37" s="101" t="str">
        <f t="shared" si="14"/>
        <v/>
      </c>
      <c r="Y37" s="100" t="str">
        <f t="shared" si="15"/>
        <v/>
      </c>
      <c r="Z37" s="119" t="str">
        <f>IF('Temperature in bundle'!$P$4="Current = 1A per pair",2,IF($A37="","",('Temperature in bundle'!$Q$6-('Temperature in bundle'!$Q$6^2-4*(Y37+Z$7)*'Temperature in bundle'!$Q$7)^0.5)/2/(Y37+Z$7)))</f>
        <v/>
      </c>
      <c r="AA37" s="98" t="str">
        <f t="shared" si="16"/>
        <v/>
      </c>
      <c r="AB37" s="101" t="str">
        <f t="shared" si="17"/>
        <v/>
      </c>
    </row>
    <row r="38" spans="1:28">
      <c r="A38" t="str">
        <f t="shared" si="18"/>
        <v/>
      </c>
      <c r="B38" s="113">
        <v>0</v>
      </c>
      <c r="C38" s="113">
        <f>-SQRT(3)</f>
        <v>-1.7320508075688772</v>
      </c>
      <c r="D38" s="113">
        <f t="shared" si="1"/>
        <v>1.7320508075688772</v>
      </c>
      <c r="E38" s="113" t="str">
        <f t="shared" si="2"/>
        <v/>
      </c>
      <c r="F38" s="113" t="str">
        <f t="shared" si="3"/>
        <v/>
      </c>
      <c r="G38" s="97" t="str">
        <f t="shared" si="4"/>
        <v/>
      </c>
      <c r="J38" s="116" t="str">
        <f t="shared" si="5"/>
        <v/>
      </c>
      <c r="K38" s="119" t="str">
        <f t="shared" si="6"/>
        <v/>
      </c>
      <c r="L38" s="98" t="str">
        <f t="shared" si="7"/>
        <v/>
      </c>
      <c r="M38" s="101" t="str">
        <f t="shared" si="8"/>
        <v/>
      </c>
      <c r="O38" s="100" t="str">
        <f t="shared" si="9"/>
        <v/>
      </c>
      <c r="P38" s="119" t="str">
        <f>IF('Temperature in bundle'!$P$4="Current = 1A per pair",2,IF($A38="","",('Temperature in bundle'!$Q$6-('Temperature in bundle'!$Q$6^2-4*(O38+P$7)*'Temperature in bundle'!$Q$7)^0.5)/2/(O38+P$7)))</f>
        <v/>
      </c>
      <c r="Q38" s="98" t="str">
        <f t="shared" si="10"/>
        <v/>
      </c>
      <c r="R38" s="101" t="str">
        <f t="shared" si="11"/>
        <v/>
      </c>
      <c r="T38" s="100" t="str">
        <f t="shared" si="12"/>
        <v/>
      </c>
      <c r="U38" s="119" t="str">
        <f>IF('Temperature in bundle'!$P$4="Current = 1A per pair",2,IF($A38="","",('Temperature in bundle'!$Q$6-('Temperature in bundle'!$Q$6^2-4*(T38+U$7)*'Temperature in bundle'!$Q$7)^0.5)/2/(T38+U$7)))</f>
        <v/>
      </c>
      <c r="V38" s="98" t="str">
        <f t="shared" si="13"/>
        <v/>
      </c>
      <c r="W38" s="101" t="str">
        <f t="shared" si="14"/>
        <v/>
      </c>
      <c r="Y38" s="100" t="str">
        <f t="shared" si="15"/>
        <v/>
      </c>
      <c r="Z38" s="119" t="str">
        <f>IF('Temperature in bundle'!$P$4="Current = 1A per pair",2,IF($A38="","",('Temperature in bundle'!$Q$6-('Temperature in bundle'!$Q$6^2-4*(Y38+Z$7)*'Temperature in bundle'!$Q$7)^0.5)/2/(Y38+Z$7)))</f>
        <v/>
      </c>
      <c r="AA38" s="98" t="str">
        <f t="shared" si="16"/>
        <v/>
      </c>
      <c r="AB38" s="101" t="str">
        <f t="shared" si="17"/>
        <v/>
      </c>
    </row>
    <row r="39" spans="1:28">
      <c r="A39" t="str">
        <f t="shared" si="18"/>
        <v/>
      </c>
      <c r="B39" s="113">
        <v>1</v>
      </c>
      <c r="C39" s="113">
        <f>-SQRT(3)</f>
        <v>-1.7320508075688772</v>
      </c>
      <c r="D39" s="113">
        <f t="shared" si="1"/>
        <v>2</v>
      </c>
      <c r="E39" s="113" t="str">
        <f t="shared" si="2"/>
        <v/>
      </c>
      <c r="F39" s="113" t="str">
        <f t="shared" si="3"/>
        <v/>
      </c>
      <c r="G39" s="97" t="str">
        <f t="shared" si="4"/>
        <v/>
      </c>
      <c r="J39" s="116" t="str">
        <f t="shared" si="5"/>
        <v/>
      </c>
      <c r="K39" s="119" t="str">
        <f t="shared" si="6"/>
        <v/>
      </c>
      <c r="L39" s="98" t="str">
        <f t="shared" si="7"/>
        <v/>
      </c>
      <c r="M39" s="101" t="str">
        <f t="shared" si="8"/>
        <v/>
      </c>
      <c r="O39" s="100" t="str">
        <f t="shared" si="9"/>
        <v/>
      </c>
      <c r="P39" s="119" t="str">
        <f>IF('Temperature in bundle'!$P$4="Current = 1A per pair",2,IF($A39="","",('Temperature in bundle'!$Q$6-('Temperature in bundle'!$Q$6^2-4*(O39+P$7)*'Temperature in bundle'!$Q$7)^0.5)/2/(O39+P$7)))</f>
        <v/>
      </c>
      <c r="Q39" s="98" t="str">
        <f t="shared" si="10"/>
        <v/>
      </c>
      <c r="R39" s="101" t="str">
        <f t="shared" si="11"/>
        <v/>
      </c>
      <c r="T39" s="100" t="str">
        <f t="shared" si="12"/>
        <v/>
      </c>
      <c r="U39" s="119" t="str">
        <f>IF('Temperature in bundle'!$P$4="Current = 1A per pair",2,IF($A39="","",('Temperature in bundle'!$Q$6-('Temperature in bundle'!$Q$6^2-4*(T39+U$7)*'Temperature in bundle'!$Q$7)^0.5)/2/(T39+U$7)))</f>
        <v/>
      </c>
      <c r="V39" s="98" t="str">
        <f t="shared" si="13"/>
        <v/>
      </c>
      <c r="W39" s="101" t="str">
        <f t="shared" si="14"/>
        <v/>
      </c>
      <c r="Y39" s="100" t="str">
        <f t="shared" si="15"/>
        <v/>
      </c>
      <c r="Z39" s="119" t="str">
        <f>IF('Temperature in bundle'!$P$4="Current = 1A per pair",2,IF($A39="","",('Temperature in bundle'!$Q$6-('Temperature in bundle'!$Q$6^2-4*(Y39+Z$7)*'Temperature in bundle'!$Q$7)^0.5)/2/(Y39+Z$7)))</f>
        <v/>
      </c>
      <c r="AA39" s="98" t="str">
        <f t="shared" si="16"/>
        <v/>
      </c>
      <c r="AB39" s="101" t="str">
        <f t="shared" si="17"/>
        <v/>
      </c>
    </row>
    <row r="40" spans="1:28">
      <c r="A40" t="str">
        <f t="shared" si="18"/>
        <v/>
      </c>
      <c r="B40" s="113">
        <v>2</v>
      </c>
      <c r="C40" s="113">
        <f>-SQRT(3)</f>
        <v>-1.7320508075688772</v>
      </c>
      <c r="D40" s="113">
        <f t="shared" si="1"/>
        <v>2.6457513110645907</v>
      </c>
      <c r="E40" s="113" t="str">
        <f t="shared" si="2"/>
        <v/>
      </c>
      <c r="F40" s="113" t="str">
        <f t="shared" si="3"/>
        <v/>
      </c>
      <c r="G40" s="97" t="str">
        <f t="shared" si="4"/>
        <v/>
      </c>
      <c r="J40" s="116" t="str">
        <f t="shared" si="5"/>
        <v/>
      </c>
      <c r="K40" s="119" t="str">
        <f t="shared" si="6"/>
        <v/>
      </c>
      <c r="L40" s="98" t="str">
        <f t="shared" si="7"/>
        <v/>
      </c>
      <c r="M40" s="101" t="str">
        <f t="shared" si="8"/>
        <v/>
      </c>
      <c r="O40" s="100" t="str">
        <f t="shared" si="9"/>
        <v/>
      </c>
      <c r="P40" s="119" t="str">
        <f>IF('Temperature in bundle'!$P$4="Current = 1A per pair",2,IF($A40="","",('Temperature in bundle'!$Q$6-('Temperature in bundle'!$Q$6^2-4*(O40+P$7)*'Temperature in bundle'!$Q$7)^0.5)/2/(O40+P$7)))</f>
        <v/>
      </c>
      <c r="Q40" s="98" t="str">
        <f t="shared" si="10"/>
        <v/>
      </c>
      <c r="R40" s="101" t="str">
        <f t="shared" si="11"/>
        <v/>
      </c>
      <c r="T40" s="100" t="str">
        <f t="shared" si="12"/>
        <v/>
      </c>
      <c r="U40" s="119" t="str">
        <f>IF('Temperature in bundle'!$P$4="Current = 1A per pair",2,IF($A40="","",('Temperature in bundle'!$Q$6-('Temperature in bundle'!$Q$6^2-4*(T40+U$7)*'Temperature in bundle'!$Q$7)^0.5)/2/(T40+U$7)))</f>
        <v/>
      </c>
      <c r="V40" s="98" t="str">
        <f t="shared" si="13"/>
        <v/>
      </c>
      <c r="W40" s="101" t="str">
        <f t="shared" si="14"/>
        <v/>
      </c>
      <c r="Y40" s="100" t="str">
        <f t="shared" si="15"/>
        <v/>
      </c>
      <c r="Z40" s="119" t="str">
        <f>IF('Temperature in bundle'!$P$4="Current = 1A per pair",2,IF($A40="","",('Temperature in bundle'!$Q$6-('Temperature in bundle'!$Q$6^2-4*(Y40+Z$7)*'Temperature in bundle'!$Q$7)^0.5)/2/(Y40+Z$7)))</f>
        <v/>
      </c>
      <c r="AA40" s="98" t="str">
        <f t="shared" si="16"/>
        <v/>
      </c>
      <c r="AB40" s="101" t="str">
        <f t="shared" si="17"/>
        <v/>
      </c>
    </row>
    <row r="41" spans="1:28">
      <c r="A41" t="str">
        <f t="shared" si="18"/>
        <v/>
      </c>
      <c r="B41" s="113">
        <v>2.5</v>
      </c>
      <c r="C41" s="113">
        <f>-SQRT(3)/2</f>
        <v>-0.8660254037844386</v>
      </c>
      <c r="D41" s="113">
        <f t="shared" si="1"/>
        <v>2.6457513110645907</v>
      </c>
      <c r="E41" s="113" t="str">
        <f t="shared" si="2"/>
        <v/>
      </c>
      <c r="F41" s="113" t="str">
        <f t="shared" si="3"/>
        <v/>
      </c>
      <c r="G41" s="97" t="str">
        <f t="shared" si="4"/>
        <v/>
      </c>
      <c r="J41" s="116" t="str">
        <f t="shared" si="5"/>
        <v/>
      </c>
      <c r="K41" s="119" t="str">
        <f t="shared" si="6"/>
        <v/>
      </c>
      <c r="L41" s="98" t="str">
        <f t="shared" si="7"/>
        <v/>
      </c>
      <c r="M41" s="101" t="str">
        <f t="shared" si="8"/>
        <v/>
      </c>
      <c r="O41" s="100" t="str">
        <f t="shared" si="9"/>
        <v/>
      </c>
      <c r="P41" s="119" t="str">
        <f>IF('Temperature in bundle'!$P$4="Current = 1A per pair",2,IF($A41="","",('Temperature in bundle'!$Q$6-('Temperature in bundle'!$Q$6^2-4*(O41+P$7)*'Temperature in bundle'!$Q$7)^0.5)/2/(O41+P$7)))</f>
        <v/>
      </c>
      <c r="Q41" s="98" t="str">
        <f t="shared" si="10"/>
        <v/>
      </c>
      <c r="R41" s="101" t="str">
        <f t="shared" si="11"/>
        <v/>
      </c>
      <c r="T41" s="100" t="str">
        <f t="shared" si="12"/>
        <v/>
      </c>
      <c r="U41" s="119" t="str">
        <f>IF('Temperature in bundle'!$P$4="Current = 1A per pair",2,IF($A41="","",('Temperature in bundle'!$Q$6-('Temperature in bundle'!$Q$6^2-4*(T41+U$7)*'Temperature in bundle'!$Q$7)^0.5)/2/(T41+U$7)))</f>
        <v/>
      </c>
      <c r="V41" s="98" t="str">
        <f t="shared" si="13"/>
        <v/>
      </c>
      <c r="W41" s="101" t="str">
        <f t="shared" si="14"/>
        <v/>
      </c>
      <c r="Y41" s="100" t="str">
        <f t="shared" si="15"/>
        <v/>
      </c>
      <c r="Z41" s="119" t="str">
        <f>IF('Temperature in bundle'!$P$4="Current = 1A per pair",2,IF($A41="","",('Temperature in bundle'!$Q$6-('Temperature in bundle'!$Q$6^2-4*(Y41+Z$7)*'Temperature in bundle'!$Q$7)^0.5)/2/(Y41+Z$7)))</f>
        <v/>
      </c>
      <c r="AA41" s="98" t="str">
        <f t="shared" si="16"/>
        <v/>
      </c>
      <c r="AB41" s="101" t="str">
        <f t="shared" si="17"/>
        <v/>
      </c>
    </row>
    <row r="42" spans="1:28">
      <c r="A42" t="str">
        <f t="shared" si="18"/>
        <v/>
      </c>
      <c r="B42" s="113">
        <v>3</v>
      </c>
      <c r="C42" s="113">
        <v>0</v>
      </c>
      <c r="D42" s="113">
        <f t="shared" si="1"/>
        <v>3</v>
      </c>
      <c r="E42" s="113" t="str">
        <f t="shared" si="2"/>
        <v/>
      </c>
      <c r="F42" s="113" t="str">
        <f t="shared" si="3"/>
        <v/>
      </c>
      <c r="G42" s="97" t="str">
        <f t="shared" si="4"/>
        <v/>
      </c>
      <c r="J42" s="116" t="str">
        <f t="shared" si="5"/>
        <v/>
      </c>
      <c r="K42" s="119" t="str">
        <f t="shared" si="6"/>
        <v/>
      </c>
      <c r="L42" s="98" t="str">
        <f t="shared" si="7"/>
        <v/>
      </c>
      <c r="M42" s="101" t="str">
        <f t="shared" si="8"/>
        <v/>
      </c>
      <c r="O42" s="100" t="str">
        <f t="shared" si="9"/>
        <v/>
      </c>
      <c r="P42" s="119" t="str">
        <f>IF('Temperature in bundle'!$P$4="Current = 1A per pair",2,IF($A42="","",('Temperature in bundle'!$Q$6-('Temperature in bundle'!$Q$6^2-4*(O42+P$7)*'Temperature in bundle'!$Q$7)^0.5)/2/(O42+P$7)))</f>
        <v/>
      </c>
      <c r="Q42" s="98" t="str">
        <f t="shared" si="10"/>
        <v/>
      </c>
      <c r="R42" s="101" t="str">
        <f t="shared" si="11"/>
        <v/>
      </c>
      <c r="T42" s="100" t="str">
        <f t="shared" si="12"/>
        <v/>
      </c>
      <c r="U42" s="119" t="str">
        <f>IF('Temperature in bundle'!$P$4="Current = 1A per pair",2,IF($A42="","",('Temperature in bundle'!$Q$6-('Temperature in bundle'!$Q$6^2-4*(T42+U$7)*'Temperature in bundle'!$Q$7)^0.5)/2/(T42+U$7)))</f>
        <v/>
      </c>
      <c r="V42" s="98" t="str">
        <f t="shared" si="13"/>
        <v/>
      </c>
      <c r="W42" s="101" t="str">
        <f t="shared" si="14"/>
        <v/>
      </c>
      <c r="Y42" s="100" t="str">
        <f t="shared" si="15"/>
        <v/>
      </c>
      <c r="Z42" s="119" t="str">
        <f>IF('Temperature in bundle'!$P$4="Current = 1A per pair",2,IF($A42="","",('Temperature in bundle'!$Q$6-('Temperature in bundle'!$Q$6^2-4*(Y42+Z$7)*'Temperature in bundle'!$Q$7)^0.5)/2/(Y42+Z$7)))</f>
        <v/>
      </c>
      <c r="AA42" s="98" t="str">
        <f t="shared" si="16"/>
        <v/>
      </c>
      <c r="AB42" s="101" t="str">
        <f t="shared" si="17"/>
        <v/>
      </c>
    </row>
    <row r="43" spans="1:28">
      <c r="A43" t="str">
        <f t="shared" si="18"/>
        <v/>
      </c>
      <c r="B43" s="113">
        <v>2.5</v>
      </c>
      <c r="C43" s="113">
        <f>SQRT(3)/2</f>
        <v>0.8660254037844386</v>
      </c>
      <c r="D43" s="113">
        <f t="shared" si="1"/>
        <v>2.6457513110645907</v>
      </c>
      <c r="E43" s="113" t="str">
        <f t="shared" si="2"/>
        <v/>
      </c>
      <c r="F43" s="113" t="str">
        <f t="shared" si="3"/>
        <v/>
      </c>
      <c r="G43" s="97" t="str">
        <f t="shared" si="4"/>
        <v/>
      </c>
      <c r="J43" s="116" t="str">
        <f t="shared" si="5"/>
        <v/>
      </c>
      <c r="K43" s="119" t="str">
        <f t="shared" si="6"/>
        <v/>
      </c>
      <c r="L43" s="98" t="str">
        <f t="shared" si="7"/>
        <v/>
      </c>
      <c r="M43" s="101" t="str">
        <f t="shared" si="8"/>
        <v/>
      </c>
      <c r="O43" s="100" t="str">
        <f t="shared" si="9"/>
        <v/>
      </c>
      <c r="P43" s="119" t="str">
        <f>IF('Temperature in bundle'!$P$4="Current = 1A per pair",2,IF($A43="","",('Temperature in bundle'!$Q$6-('Temperature in bundle'!$Q$6^2-4*(O43+P$7)*'Temperature in bundle'!$Q$7)^0.5)/2/(O43+P$7)))</f>
        <v/>
      </c>
      <c r="Q43" s="98" t="str">
        <f t="shared" si="10"/>
        <v/>
      </c>
      <c r="R43" s="101" t="str">
        <f t="shared" si="11"/>
        <v/>
      </c>
      <c r="T43" s="100" t="str">
        <f t="shared" si="12"/>
        <v/>
      </c>
      <c r="U43" s="119" t="str">
        <f>IF('Temperature in bundle'!$P$4="Current = 1A per pair",2,IF($A43="","",('Temperature in bundle'!$Q$6-('Temperature in bundle'!$Q$6^2-4*(T43+U$7)*'Temperature in bundle'!$Q$7)^0.5)/2/(T43+U$7)))</f>
        <v/>
      </c>
      <c r="V43" s="98" t="str">
        <f t="shared" si="13"/>
        <v/>
      </c>
      <c r="W43" s="101" t="str">
        <f t="shared" si="14"/>
        <v/>
      </c>
      <c r="Y43" s="100" t="str">
        <f t="shared" si="15"/>
        <v/>
      </c>
      <c r="Z43" s="119" t="str">
        <f>IF('Temperature in bundle'!$P$4="Current = 1A per pair",2,IF($A43="","",('Temperature in bundle'!$Q$6-('Temperature in bundle'!$Q$6^2-4*(Y43+Z$7)*'Temperature in bundle'!$Q$7)^0.5)/2/(Y43+Z$7)))</f>
        <v/>
      </c>
      <c r="AA43" s="98" t="str">
        <f t="shared" si="16"/>
        <v/>
      </c>
      <c r="AB43" s="101" t="str">
        <f t="shared" si="17"/>
        <v/>
      </c>
    </row>
    <row r="44" spans="1:28">
      <c r="A44" t="str">
        <f t="shared" si="18"/>
        <v/>
      </c>
      <c r="B44" s="113">
        <v>2</v>
      </c>
      <c r="C44" s="113">
        <f>SQRT(3)</f>
        <v>1.7320508075688772</v>
      </c>
      <c r="D44" s="113">
        <f t="shared" si="1"/>
        <v>2.6457513110645907</v>
      </c>
      <c r="E44" s="113" t="str">
        <f t="shared" si="2"/>
        <v/>
      </c>
      <c r="F44" s="113" t="str">
        <f t="shared" si="3"/>
        <v/>
      </c>
      <c r="G44" s="97" t="str">
        <f t="shared" si="4"/>
        <v/>
      </c>
      <c r="J44" s="116" t="str">
        <f t="shared" si="5"/>
        <v/>
      </c>
      <c r="K44" s="119" t="str">
        <f t="shared" si="6"/>
        <v/>
      </c>
      <c r="L44" s="98" t="str">
        <f t="shared" si="7"/>
        <v/>
      </c>
      <c r="M44" s="101" t="str">
        <f t="shared" si="8"/>
        <v/>
      </c>
      <c r="O44" s="100" t="str">
        <f t="shared" si="9"/>
        <v/>
      </c>
      <c r="P44" s="119" t="str">
        <f>IF('Temperature in bundle'!$P$4="Current = 1A per pair",2,IF($A44="","",('Temperature in bundle'!$Q$6-('Temperature in bundle'!$Q$6^2-4*(O44+P$7)*'Temperature in bundle'!$Q$7)^0.5)/2/(O44+P$7)))</f>
        <v/>
      </c>
      <c r="Q44" s="98" t="str">
        <f t="shared" si="10"/>
        <v/>
      </c>
      <c r="R44" s="101" t="str">
        <f t="shared" si="11"/>
        <v/>
      </c>
      <c r="T44" s="100" t="str">
        <f t="shared" si="12"/>
        <v/>
      </c>
      <c r="U44" s="119" t="str">
        <f>IF('Temperature in bundle'!$P$4="Current = 1A per pair",2,IF($A44="","",('Temperature in bundle'!$Q$6-('Temperature in bundle'!$Q$6^2-4*(T44+U$7)*'Temperature in bundle'!$Q$7)^0.5)/2/(T44+U$7)))</f>
        <v/>
      </c>
      <c r="V44" s="98" t="str">
        <f t="shared" si="13"/>
        <v/>
      </c>
      <c r="W44" s="101" t="str">
        <f t="shared" si="14"/>
        <v/>
      </c>
      <c r="Y44" s="100" t="str">
        <f t="shared" si="15"/>
        <v/>
      </c>
      <c r="Z44" s="119" t="str">
        <f>IF('Temperature in bundle'!$P$4="Current = 1A per pair",2,IF($A44="","",('Temperature in bundle'!$Q$6-('Temperature in bundle'!$Q$6^2-4*(Y44+Z$7)*'Temperature in bundle'!$Q$7)^0.5)/2/(Y44+Z$7)))</f>
        <v/>
      </c>
      <c r="AA44" s="98" t="str">
        <f t="shared" si="16"/>
        <v/>
      </c>
      <c r="AB44" s="101" t="str">
        <f t="shared" si="17"/>
        <v/>
      </c>
    </row>
    <row r="46" spans="1:28">
      <c r="A46" t="s">
        <v>300</v>
      </c>
      <c r="B46" s="67" t="s">
        <v>261</v>
      </c>
      <c r="C46" s="67" t="s">
        <v>262</v>
      </c>
      <c r="D46" s="67" t="s">
        <v>263</v>
      </c>
      <c r="E46" s="99"/>
      <c r="F46" s="99"/>
      <c r="G46" s="99"/>
    </row>
    <row r="47" spans="1:28">
      <c r="A47">
        <v>1</v>
      </c>
      <c r="B47" s="97">
        <v>0</v>
      </c>
      <c r="C47" s="97">
        <v>0</v>
      </c>
      <c r="D47" s="97">
        <f>(B47^2+C47^2)^0.5</f>
        <v>0</v>
      </c>
      <c r="E47" s="97">
        <f>IF($A47="","",B47)</f>
        <v>0</v>
      </c>
      <c r="F47" s="97">
        <f>IF($A47="","",C47)</f>
        <v>0</v>
      </c>
      <c r="G47" s="97"/>
      <c r="J47" s="116">
        <f>IF($A47="","",$G$10)</f>
        <v>0.22284244248680671</v>
      </c>
      <c r="K47" s="119">
        <f t="shared" ref="K47" si="19">IF($A47="","",$C$12)</f>
        <v>0.51453105392986931</v>
      </c>
      <c r="L47" s="98">
        <f t="shared" ref="L47" si="20">IF($A47="","",J47*K47^2)</f>
        <v>5.8995799693645302E-2</v>
      </c>
      <c r="M47" s="101">
        <f>IF($A47="","",M$3+M$4*(1-3.63*$G47^2/$G$15))</f>
        <v>0.16168469090255844</v>
      </c>
      <c r="O47" s="100">
        <f>IF($A47="","",$J47*(1+0.0039*M47))</f>
        <v>0.22298296031139717</v>
      </c>
      <c r="P47" s="119">
        <f>IF('Temperature in bundle'!$P$4="Current = 1A per pair",2,IF($A47="","",('Temperature in bundle'!$Q$6-('Temperature in bundle'!$Q$6^2-4*(O47+R$7)*'Temperature in bundle'!$Q$7)^0.5)/2/(O47+R$7)))</f>
        <v>0.51455815744520139</v>
      </c>
      <c r="Q47" s="98">
        <f t="shared" ref="Q47" si="21">IF($A47="","",O47*P47^2)</f>
        <v>5.9039220118717428E-2</v>
      </c>
      <c r="R47" s="101">
        <f>IF($A47="","",R$3+R$4*(1-3.63*$G47^2/$G$15))</f>
        <v>0.16180368950996948</v>
      </c>
      <c r="T47" s="100">
        <f>IF($A47="","",$J47*(1+0.0039*R47))</f>
        <v>0.22298306373136445</v>
      </c>
      <c r="U47" s="119">
        <f>IF('Temperature in bundle'!$P$4="Current = 1A per pair",2,IF($A47="","",('Temperature in bundle'!$Q$6-('Temperature in bundle'!$Q$6^2-4*(T47+W$7)*'Temperature in bundle'!$Q$7)^0.5)/2/(T47+W$7)))</f>
        <v>0.51455821403283064</v>
      </c>
      <c r="V47" s="98">
        <f t="shared" ref="V47" si="22">IF($A47="","",T47*U47^2)</f>
        <v>5.9039260486707962E-2</v>
      </c>
      <c r="W47" s="101">
        <f>IF($A47="","",W$3+W$4*(1-3.63*$G47^2/$G$15))</f>
        <v>0.16180380014303328</v>
      </c>
      <c r="Y47" s="100">
        <f>IF($A47="","",$J47*(1+0.0039*W47))</f>
        <v>0.22298306382751404</v>
      </c>
      <c r="Z47" s="119">
        <f>IF('Temperature in bundle'!$P$4="Current = 1A per pair",2,IF($A47="","",('Temperature in bundle'!$Q$6-('Temperature in bundle'!$Q$6^2-4*(Y47+AB$7)*'Temperature in bundle'!$Q$7)^0.5)/2/(Y47+AB$7)))</f>
        <v>0.51455821415262915</v>
      </c>
      <c r="AA47" s="98">
        <f t="shared" ref="AA47" si="23">IF($A47="","",Y47*Z47^2)</f>
        <v>5.903926053965633E-2</v>
      </c>
      <c r="AB47" s="101">
        <f>IF($A47="","",AB$3+AB$4*(1-3.63*$G47^2/$G$15))</f>
        <v>0.16180380028814431</v>
      </c>
    </row>
    <row r="50" spans="1:28">
      <c r="A50" t="s">
        <v>260</v>
      </c>
      <c r="B50" s="67" t="s">
        <v>261</v>
      </c>
      <c r="C50" s="67" t="s">
        <v>262</v>
      </c>
      <c r="D50" s="67" t="s">
        <v>263</v>
      </c>
      <c r="E50" s="99">
        <f>AVERAGE(E51:E249)</f>
        <v>0.5</v>
      </c>
      <c r="F50" s="99">
        <f>AVERAGE(F51:F249)</f>
        <v>0.28867513459481287</v>
      </c>
    </row>
    <row r="51" spans="1:28">
      <c r="A51">
        <v>1</v>
      </c>
      <c r="B51" s="113">
        <v>0</v>
      </c>
      <c r="C51" s="113">
        <v>0</v>
      </c>
      <c r="D51" s="113">
        <f>(B51^2+C51^2)^0.5</f>
        <v>0</v>
      </c>
      <c r="E51" s="113">
        <f>IF($A51="","",B51)</f>
        <v>0</v>
      </c>
      <c r="F51" s="113">
        <f>IF($A51="","",C51)</f>
        <v>0</v>
      </c>
      <c r="G51" s="113">
        <f>IF(A51="","",((E$50-E51)^2+(F$50-F51)^2)^0.5)</f>
        <v>0.57735026918962573</v>
      </c>
      <c r="J51" s="116">
        <f>IF($A51="","",$E$10)</f>
        <v>2.0986931609674486</v>
      </c>
      <c r="K51" s="119">
        <f t="shared" ref="K51:K114" si="24">IF($A51="","",$C$12)</f>
        <v>0.51453105392986931</v>
      </c>
      <c r="L51" s="98">
        <f t="shared" ref="L51:L114" si="25">IF($A51="","",J51*K51^2)</f>
        <v>0.55561265601452581</v>
      </c>
      <c r="M51" s="101">
        <f>IF($A51="","",L$3+L$4*(1-3.63*$G51^2/$E$15))</f>
        <v>0.61151182793756098</v>
      </c>
      <c r="O51" s="100">
        <f t="shared" ref="O51:O114" si="26">IF($A51="","",$J51*(1+0.0039*M51))</f>
        <v>2.1036983261629074</v>
      </c>
      <c r="P51" s="119">
        <f>IF('Temperature in bundle'!$P$4="Current = 1A per pair",2,IF($A51="","",('Temperature in bundle'!$Q$6-('Temperature in bundle'!$Q$6^2-4*(O51+Q$7)*'Temperature in bundle'!$Q$7)^0.5)/2/(O51+Q$7)))</f>
        <v>0.51456275371853</v>
      </c>
      <c r="Q51" s="98">
        <f t="shared" ref="Q51" si="27">IF($A51="","",O51*P51^2)</f>
        <v>0.55700636145210858</v>
      </c>
      <c r="R51" s="101">
        <f>IF($A51="","",Q$3+Q$4*(1-3.63*$G51^2/$E$15))</f>
        <v>0.61279618315539808</v>
      </c>
      <c r="T51" s="100">
        <f t="shared" ref="T51:T114" si="28">IF($A51="","",$J51*(1+0.0039*R51))</f>
        <v>2.1037088384862042</v>
      </c>
      <c r="U51" s="119">
        <f>IF('Temperature in bundle'!$P$4="Current = 1A per pair",2,IF($A51="","",('Temperature in bundle'!$Q$6-('Temperature in bundle'!$Q$6^2-4*(T51+V$7)*'Temperature in bundle'!$Q$7)^0.5)/2/(T51+V$7)))</f>
        <v>0.51456281996192077</v>
      </c>
      <c r="V51" s="98">
        <f t="shared" ref="V51:V114" si="29">IF($A51="","",T51*U51^2)</f>
        <v>0.55700928826634988</v>
      </c>
      <c r="W51" s="101">
        <f>IF($A51="","",V$3+V$4*(1-3.63*$G51^2/$E$15))</f>
        <v>0.61279888015325046</v>
      </c>
      <c r="Y51" s="100">
        <f t="shared" ref="Y51:Y114" si="30">IF($A51="","",$J51*(1+0.0039*W51))</f>
        <v>2.1037088605608707</v>
      </c>
      <c r="Z51" s="119">
        <f>IF('Temperature in bundle'!$P$4="Current = 1A per pair",2,IF($A51="","",('Temperature in bundle'!$Q$6-('Temperature in bundle'!$Q$6^2-4*(Y51+AA$7)*'Temperature in bundle'!$Q$7)^0.5)/2/(Y51+AA$7)))</f>
        <v>0.51456282010199617</v>
      </c>
      <c r="AA51" s="98">
        <f t="shared" ref="AA51:AA114" si="31">IF($A51="","",Y51*Z51^2)</f>
        <v>0.55700929441442781</v>
      </c>
      <c r="AB51" s="101">
        <f>IF($A51="","",AA$3+AA$4*(1-3.63*$G51^2/$E$15))</f>
        <v>0.61279888581895081</v>
      </c>
    </row>
    <row r="52" spans="1:28">
      <c r="A52">
        <f>IF(A51&lt;E$15,A51+1,"")</f>
        <v>2</v>
      </c>
      <c r="B52" s="113">
        <v>1</v>
      </c>
      <c r="C52" s="113">
        <v>0</v>
      </c>
      <c r="D52" s="113">
        <f>(B52^2+C52^2)^0.5</f>
        <v>1</v>
      </c>
      <c r="E52" s="113">
        <f t="shared" ref="E52:F115" si="32">IF($A52="","",B52)</f>
        <v>1</v>
      </c>
      <c r="F52" s="113">
        <f t="shared" si="32"/>
        <v>0</v>
      </c>
      <c r="G52" s="113">
        <f>IF(A52="","",((E$50-E52)^2+(F$50-F52)^2)^0.5)</f>
        <v>0.57735026918962573</v>
      </c>
      <c r="J52" s="116">
        <f t="shared" ref="J52:J115" si="33">IF($A52="","",$E$10)</f>
        <v>2.0986931609674486</v>
      </c>
      <c r="K52" s="119">
        <f t="shared" si="24"/>
        <v>0.51453105392986931</v>
      </c>
      <c r="L52" s="98">
        <f t="shared" si="25"/>
        <v>0.55561265601452581</v>
      </c>
      <c r="M52" s="101">
        <f t="shared" ref="M52:M115" si="34">IF($A52="","",L$3+L$4*(1-3.63*$G52^2/$E$15))</f>
        <v>0.61151182793756098</v>
      </c>
      <c r="O52" s="100">
        <f t="shared" si="26"/>
        <v>2.1036983261629074</v>
      </c>
      <c r="P52" s="119">
        <f>IF('Temperature in bundle'!$P$4="Current = 1A per pair",2,IF($A52="","",('Temperature in bundle'!$Q$6-('Temperature in bundle'!$Q$6^2-4*(O52+Q$7)*'Temperature in bundle'!$Q$7)^0.5)/2/(O52+Q$7)))</f>
        <v>0.51456275371853</v>
      </c>
      <c r="Q52" s="98">
        <f t="shared" ref="Q52:Q115" si="35">IF($A52="","",O52*P52^2)</f>
        <v>0.55700636145210858</v>
      </c>
      <c r="R52" s="101">
        <f t="shared" ref="R52:R115" si="36">IF($A52="","",Q$3+Q$4*(1-3.63*$G52^2/$E$15))</f>
        <v>0.61279618315539808</v>
      </c>
      <c r="T52" s="100">
        <f t="shared" si="28"/>
        <v>2.1037088384862042</v>
      </c>
      <c r="U52" s="119">
        <f>IF('Temperature in bundle'!$P$4="Current = 1A per pair",2,IF($A52="","",('Temperature in bundle'!$Q$6-('Temperature in bundle'!$Q$6^2-4*(T52+V$7)*'Temperature in bundle'!$Q$7)^0.5)/2/(T52+V$7)))</f>
        <v>0.51456281996192077</v>
      </c>
      <c r="V52" s="98">
        <f t="shared" si="29"/>
        <v>0.55700928826634988</v>
      </c>
      <c r="W52" s="101">
        <f t="shared" ref="W52:W115" si="37">IF($A52="","",V$3+V$4*(1-3.63*$G52^2/$E$15))</f>
        <v>0.61279888015325046</v>
      </c>
      <c r="Y52" s="100">
        <f t="shared" si="30"/>
        <v>2.1037088605608707</v>
      </c>
      <c r="Z52" s="119">
        <f>IF('Temperature in bundle'!$P$4="Current = 1A per pair",2,IF($A52="","",('Temperature in bundle'!$Q$6-('Temperature in bundle'!$Q$6^2-4*(Y52+AA$7)*'Temperature in bundle'!$Q$7)^0.5)/2/(Y52+AA$7)))</f>
        <v>0.51456282010199617</v>
      </c>
      <c r="AA52" s="98">
        <f t="shared" si="31"/>
        <v>0.55700929441442781</v>
      </c>
      <c r="AB52" s="101">
        <f t="shared" ref="AB52:AB115" si="38">IF($A52="","",AA$3+AA$4*(1-3.63*$G52^2/$E$15))</f>
        <v>0.61279888581895081</v>
      </c>
    </row>
    <row r="53" spans="1:28">
      <c r="A53">
        <f t="shared" ref="A53:A116" si="39">IF(A52&lt;E$15,A52+1,"")</f>
        <v>3</v>
      </c>
      <c r="B53" s="113">
        <v>0.5</v>
      </c>
      <c r="C53" s="113">
        <f>SQRT(3)/2</f>
        <v>0.8660254037844386</v>
      </c>
      <c r="D53" s="113">
        <f>(B53^2+C53^2)^0.5</f>
        <v>1</v>
      </c>
      <c r="E53" s="113">
        <f t="shared" si="32"/>
        <v>0.5</v>
      </c>
      <c r="F53" s="113">
        <f t="shared" si="32"/>
        <v>0.8660254037844386</v>
      </c>
      <c r="G53" s="113">
        <f t="shared" ref="G53:G116" si="40">IF(A53="","",((E$50-E53)^2+(F$50-F53)^2)^0.5)</f>
        <v>0.57735026918962573</v>
      </c>
      <c r="J53" s="116">
        <f t="shared" si="33"/>
        <v>2.0986931609674486</v>
      </c>
      <c r="K53" s="119">
        <f t="shared" si="24"/>
        <v>0.51453105392986931</v>
      </c>
      <c r="L53" s="98">
        <f t="shared" si="25"/>
        <v>0.55561265601452581</v>
      </c>
      <c r="M53" s="101">
        <f t="shared" si="34"/>
        <v>0.61151182793756098</v>
      </c>
      <c r="O53" s="100">
        <f t="shared" si="26"/>
        <v>2.1036983261629074</v>
      </c>
      <c r="P53" s="119">
        <f>IF('Temperature in bundle'!$P$4="Current = 1A per pair",2,IF($A53="","",('Temperature in bundle'!$Q$6-('Temperature in bundle'!$Q$6^2-4*(O53+Q$7)*'Temperature in bundle'!$Q$7)^0.5)/2/(O53+Q$7)))</f>
        <v>0.51456275371853</v>
      </c>
      <c r="Q53" s="98">
        <f t="shared" si="35"/>
        <v>0.55700636145210858</v>
      </c>
      <c r="R53" s="101">
        <f t="shared" si="36"/>
        <v>0.61279618315539808</v>
      </c>
      <c r="T53" s="100">
        <f t="shared" si="28"/>
        <v>2.1037088384862042</v>
      </c>
      <c r="U53" s="119">
        <f>IF('Temperature in bundle'!$P$4="Current = 1A per pair",2,IF($A53="","",('Temperature in bundle'!$Q$6-('Temperature in bundle'!$Q$6^2-4*(T53+V$7)*'Temperature in bundle'!$Q$7)^0.5)/2/(T53+V$7)))</f>
        <v>0.51456281996192077</v>
      </c>
      <c r="V53" s="98">
        <f t="shared" si="29"/>
        <v>0.55700928826634988</v>
      </c>
      <c r="W53" s="101">
        <f t="shared" si="37"/>
        <v>0.61279888015325046</v>
      </c>
      <c r="Y53" s="100">
        <f t="shared" si="30"/>
        <v>2.1037088605608707</v>
      </c>
      <c r="Z53" s="119">
        <f>IF('Temperature in bundle'!$P$4="Current = 1A per pair",2,IF($A53="","",('Temperature in bundle'!$Q$6-('Temperature in bundle'!$Q$6^2-4*(Y53+AA$7)*'Temperature in bundle'!$Q$7)^0.5)/2/(Y53+AA$7)))</f>
        <v>0.51456282010199617</v>
      </c>
      <c r="AA53" s="98">
        <f t="shared" si="31"/>
        <v>0.55700929441442781</v>
      </c>
      <c r="AB53" s="101">
        <f t="shared" si="38"/>
        <v>0.61279888581895081</v>
      </c>
    </row>
    <row r="54" spans="1:28">
      <c r="A54">
        <f t="shared" si="39"/>
        <v>4</v>
      </c>
      <c r="B54" s="113">
        <v>-0.5</v>
      </c>
      <c r="C54" s="113">
        <f>SQRT(3)/2</f>
        <v>0.8660254037844386</v>
      </c>
      <c r="D54" s="113">
        <f t="shared" ref="D54:D117" si="41">(B54^2+C54^2)^0.5</f>
        <v>1</v>
      </c>
      <c r="E54" s="113">
        <f t="shared" si="32"/>
        <v>-0.5</v>
      </c>
      <c r="F54" s="113">
        <f t="shared" si="32"/>
        <v>0.8660254037844386</v>
      </c>
      <c r="G54" s="113">
        <f t="shared" si="40"/>
        <v>1.1547005383792515</v>
      </c>
      <c r="J54" s="116">
        <f t="shared" si="33"/>
        <v>2.0986931609674486</v>
      </c>
      <c r="K54" s="119">
        <f t="shared" si="24"/>
        <v>0.51453105392986931</v>
      </c>
      <c r="L54" s="98">
        <f t="shared" si="25"/>
        <v>0.55561265601452581</v>
      </c>
      <c r="M54" s="101">
        <f t="shared" si="34"/>
        <v>0.5955048918952377</v>
      </c>
      <c r="O54" s="100">
        <f t="shared" si="26"/>
        <v>2.1035673109388271</v>
      </c>
      <c r="P54" s="119">
        <f>IF('Temperature in bundle'!$P$4="Current = 1A per pair",2,IF($A54="","",('Temperature in bundle'!$Q$6-('Temperature in bundle'!$Q$6^2-4*(O54+Q$7)*'Temperature in bundle'!$Q$7)^0.5)/2/(O54+Q$7)))</f>
        <v>0.51456201830359571</v>
      </c>
      <c r="Q54" s="98">
        <f t="shared" si="35"/>
        <v>0.55697007986806391</v>
      </c>
      <c r="R54" s="101">
        <f t="shared" si="36"/>
        <v>0.59675562782578007</v>
      </c>
      <c r="T54" s="100">
        <f t="shared" si="28"/>
        <v>2.1035775480915073</v>
      </c>
      <c r="U54" s="119">
        <f>IF('Temperature in bundle'!$P$4="Current = 1A per pair",2,IF($A54="","",('Temperature in bundle'!$Q$6-('Temperature in bundle'!$Q$6^2-4*(T54+V$7)*'Temperature in bundle'!$Q$7)^0.5)/2/(T54+V$7)))</f>
        <v>0.51456208300201867</v>
      </c>
      <c r="V54" s="98">
        <f t="shared" si="29"/>
        <v>0.55697293046253737</v>
      </c>
      <c r="W54" s="101">
        <f t="shared" si="37"/>
        <v>0.5967582542270059</v>
      </c>
      <c r="Y54" s="100">
        <f t="shared" si="30"/>
        <v>2.1035775695883472</v>
      </c>
      <c r="Z54" s="119">
        <f>IF('Temperature in bundle'!$P$4="Current = 1A per pair",2,IF($A54="","",('Temperature in bundle'!$Q$6-('Temperature in bundle'!$Q$6^2-4*(Y54+AA$7)*'Temperature in bundle'!$Q$7)^0.5)/2/(Y54+AA$7)))</f>
        <v>0.51456208313884955</v>
      </c>
      <c r="AA54" s="98">
        <f t="shared" si="31"/>
        <v>0.55697293645056201</v>
      </c>
      <c r="AB54" s="101">
        <f t="shared" si="38"/>
        <v>0.59675825974440089</v>
      </c>
    </row>
    <row r="55" spans="1:28">
      <c r="A55">
        <f t="shared" si="39"/>
        <v>5</v>
      </c>
      <c r="B55" s="113">
        <v>-1</v>
      </c>
      <c r="C55" s="113">
        <v>0</v>
      </c>
      <c r="D55" s="113">
        <f t="shared" si="41"/>
        <v>1</v>
      </c>
      <c r="E55" s="113">
        <f t="shared" si="32"/>
        <v>-1</v>
      </c>
      <c r="F55" s="113">
        <f t="shared" si="32"/>
        <v>0</v>
      </c>
      <c r="G55" s="113">
        <f t="shared" si="40"/>
        <v>1.5275252316519468</v>
      </c>
      <c r="J55" s="116">
        <f t="shared" si="33"/>
        <v>2.0986931609674486</v>
      </c>
      <c r="K55" s="119">
        <f t="shared" si="24"/>
        <v>0.51453105392986931</v>
      </c>
      <c r="L55" s="98">
        <f t="shared" si="25"/>
        <v>0.55561265601452581</v>
      </c>
      <c r="M55" s="101">
        <f t="shared" si="34"/>
        <v>0.57949795585291453</v>
      </c>
      <c r="O55" s="100">
        <f t="shared" si="26"/>
        <v>2.1034362957147468</v>
      </c>
      <c r="P55" s="119">
        <f>IF('Temperature in bundle'!$P$4="Current = 1A per pair",2,IF($A55="","",('Temperature in bundle'!$Q$6-('Temperature in bundle'!$Q$6^2-4*(O55+Q$7)*'Temperature in bundle'!$Q$7)^0.5)/2/(O55+Q$7)))</f>
        <v>0.51456128289292824</v>
      </c>
      <c r="Q55" s="98">
        <f t="shared" si="35"/>
        <v>0.55693379849384428</v>
      </c>
      <c r="R55" s="101">
        <f t="shared" si="36"/>
        <v>0.58071507249616217</v>
      </c>
      <c r="T55" s="100">
        <f t="shared" si="28"/>
        <v>2.10344625769681</v>
      </c>
      <c r="U55" s="119">
        <f>IF('Temperature in bundle'!$P$4="Current = 1A per pair",2,IF($A55="","",('Temperature in bundle'!$Q$6-('Temperature in bundle'!$Q$6^2-4*(T55+V$7)*'Temperature in bundle'!$Q$7)^0.5)/2/(T55+V$7)))</f>
        <v>0.51456134604640014</v>
      </c>
      <c r="V55" s="98">
        <f t="shared" si="29"/>
        <v>0.55693657286942988</v>
      </c>
      <c r="W55" s="101">
        <f t="shared" si="37"/>
        <v>0.58071762830076146</v>
      </c>
      <c r="Y55" s="100">
        <f t="shared" si="30"/>
        <v>2.1034462786158241</v>
      </c>
      <c r="Z55" s="119">
        <f>IF('Temperature in bundle'!$P$4="Current = 1A per pair",2,IF($A55="","",('Temperature in bundle'!$Q$6-('Temperature in bundle'!$Q$6^2-4*(Y55+AA$7)*'Temperature in bundle'!$Q$7)^0.5)/2/(Y55+AA$7)))</f>
        <v>0.51456134617998694</v>
      </c>
      <c r="AA55" s="98">
        <f t="shared" si="31"/>
        <v>0.55693657869740387</v>
      </c>
      <c r="AB55" s="101">
        <f t="shared" si="38"/>
        <v>0.58071763366985107</v>
      </c>
    </row>
    <row r="56" spans="1:28">
      <c r="A56">
        <f t="shared" si="39"/>
        <v>6</v>
      </c>
      <c r="B56" s="113">
        <v>-0.5</v>
      </c>
      <c r="C56" s="113">
        <f>-SQRT(3)/2</f>
        <v>-0.8660254037844386</v>
      </c>
      <c r="D56" s="113">
        <f t="shared" si="41"/>
        <v>1</v>
      </c>
      <c r="E56" s="113">
        <f t="shared" si="32"/>
        <v>-0.5</v>
      </c>
      <c r="F56" s="113">
        <f t="shared" si="32"/>
        <v>-0.8660254037844386</v>
      </c>
      <c r="G56" s="113">
        <f t="shared" si="40"/>
        <v>1.5275252316519465</v>
      </c>
      <c r="J56" s="116">
        <f t="shared" si="33"/>
        <v>2.0986931609674486</v>
      </c>
      <c r="K56" s="119">
        <f t="shared" si="24"/>
        <v>0.51453105392986931</v>
      </c>
      <c r="L56" s="98">
        <f t="shared" si="25"/>
        <v>0.55561265601452581</v>
      </c>
      <c r="M56" s="101">
        <f t="shared" si="34"/>
        <v>0.57949795585291453</v>
      </c>
      <c r="O56" s="100">
        <f t="shared" si="26"/>
        <v>2.1034362957147468</v>
      </c>
      <c r="P56" s="119">
        <f>IF('Temperature in bundle'!$P$4="Current = 1A per pair",2,IF($A56="","",('Temperature in bundle'!$Q$6-('Temperature in bundle'!$Q$6^2-4*(O56+Q$7)*'Temperature in bundle'!$Q$7)^0.5)/2/(O56+Q$7)))</f>
        <v>0.51456128289292824</v>
      </c>
      <c r="Q56" s="98">
        <f t="shared" si="35"/>
        <v>0.55693379849384428</v>
      </c>
      <c r="R56" s="101">
        <f t="shared" si="36"/>
        <v>0.58071507249616217</v>
      </c>
      <c r="T56" s="100">
        <f t="shared" si="28"/>
        <v>2.10344625769681</v>
      </c>
      <c r="U56" s="119">
        <f>IF('Temperature in bundle'!$P$4="Current = 1A per pair",2,IF($A56="","",('Temperature in bundle'!$Q$6-('Temperature in bundle'!$Q$6^2-4*(T56+V$7)*'Temperature in bundle'!$Q$7)^0.5)/2/(T56+V$7)))</f>
        <v>0.51456134604640014</v>
      </c>
      <c r="V56" s="98">
        <f t="shared" si="29"/>
        <v>0.55693657286942988</v>
      </c>
      <c r="W56" s="101">
        <f t="shared" si="37"/>
        <v>0.58071762830076146</v>
      </c>
      <c r="Y56" s="100">
        <f t="shared" si="30"/>
        <v>2.1034462786158241</v>
      </c>
      <c r="Z56" s="119">
        <f>IF('Temperature in bundle'!$P$4="Current = 1A per pair",2,IF($A56="","",('Temperature in bundle'!$Q$6-('Temperature in bundle'!$Q$6^2-4*(Y56+AA$7)*'Temperature in bundle'!$Q$7)^0.5)/2/(Y56+AA$7)))</f>
        <v>0.51456134617998694</v>
      </c>
      <c r="AA56" s="98">
        <f t="shared" si="31"/>
        <v>0.55693657869740387</v>
      </c>
      <c r="AB56" s="101">
        <f t="shared" si="38"/>
        <v>0.58071763366985107</v>
      </c>
    </row>
    <row r="57" spans="1:28">
      <c r="A57">
        <f t="shared" si="39"/>
        <v>7</v>
      </c>
      <c r="B57" s="113">
        <v>0.5</v>
      </c>
      <c r="C57" s="113">
        <f>-SQRT(3)/2</f>
        <v>-0.8660254037844386</v>
      </c>
      <c r="D57" s="113">
        <f t="shared" si="41"/>
        <v>1</v>
      </c>
      <c r="E57" s="113">
        <f t="shared" si="32"/>
        <v>0.5</v>
      </c>
      <c r="F57" s="113">
        <f t="shared" si="32"/>
        <v>-0.8660254037844386</v>
      </c>
      <c r="G57" s="113">
        <f t="shared" si="40"/>
        <v>1.1547005383792515</v>
      </c>
      <c r="J57" s="116">
        <f t="shared" si="33"/>
        <v>2.0986931609674486</v>
      </c>
      <c r="K57" s="119">
        <f t="shared" si="24"/>
        <v>0.51453105392986931</v>
      </c>
      <c r="L57" s="98">
        <f t="shared" si="25"/>
        <v>0.55561265601452581</v>
      </c>
      <c r="M57" s="101">
        <f t="shared" si="34"/>
        <v>0.5955048918952377</v>
      </c>
      <c r="O57" s="100">
        <f t="shared" si="26"/>
        <v>2.1035673109388271</v>
      </c>
      <c r="P57" s="119">
        <f>IF('Temperature in bundle'!$P$4="Current = 1A per pair",2,IF($A57="","",('Temperature in bundle'!$Q$6-('Temperature in bundle'!$Q$6^2-4*(O57+Q$7)*'Temperature in bundle'!$Q$7)^0.5)/2/(O57+Q$7)))</f>
        <v>0.51456201830359571</v>
      </c>
      <c r="Q57" s="98">
        <f t="shared" si="35"/>
        <v>0.55697007986806391</v>
      </c>
      <c r="R57" s="101">
        <f t="shared" si="36"/>
        <v>0.59675562782578007</v>
      </c>
      <c r="T57" s="100">
        <f t="shared" si="28"/>
        <v>2.1035775480915073</v>
      </c>
      <c r="U57" s="119">
        <f>IF('Temperature in bundle'!$P$4="Current = 1A per pair",2,IF($A57="","",('Temperature in bundle'!$Q$6-('Temperature in bundle'!$Q$6^2-4*(T57+V$7)*'Temperature in bundle'!$Q$7)^0.5)/2/(T57+V$7)))</f>
        <v>0.51456208300201867</v>
      </c>
      <c r="V57" s="98">
        <f t="shared" si="29"/>
        <v>0.55697293046253737</v>
      </c>
      <c r="W57" s="101">
        <f t="shared" si="37"/>
        <v>0.5967582542270059</v>
      </c>
      <c r="Y57" s="100">
        <f t="shared" si="30"/>
        <v>2.1035775695883472</v>
      </c>
      <c r="Z57" s="119">
        <f>IF('Temperature in bundle'!$P$4="Current = 1A per pair",2,IF($A57="","",('Temperature in bundle'!$Q$6-('Temperature in bundle'!$Q$6^2-4*(Y57+AA$7)*'Temperature in bundle'!$Q$7)^0.5)/2/(Y57+AA$7)))</f>
        <v>0.51456208313884955</v>
      </c>
      <c r="AA57" s="98">
        <f t="shared" si="31"/>
        <v>0.55697293645056201</v>
      </c>
      <c r="AB57" s="101">
        <f t="shared" si="38"/>
        <v>0.59675825974440089</v>
      </c>
    </row>
    <row r="58" spans="1:28">
      <c r="A58">
        <f t="shared" si="39"/>
        <v>8</v>
      </c>
      <c r="B58" s="113">
        <v>1.5</v>
      </c>
      <c r="C58" s="113">
        <f>-SQRT(3)/2</f>
        <v>-0.8660254037844386</v>
      </c>
      <c r="D58" s="113">
        <f t="shared" si="41"/>
        <v>1.7320508075688772</v>
      </c>
      <c r="E58" s="113">
        <f t="shared" si="32"/>
        <v>1.5</v>
      </c>
      <c r="F58" s="113">
        <f t="shared" si="32"/>
        <v>-0.8660254037844386</v>
      </c>
      <c r="G58" s="113">
        <f t="shared" si="40"/>
        <v>1.5275252316519465</v>
      </c>
      <c r="J58" s="116">
        <f t="shared" si="33"/>
        <v>2.0986931609674486</v>
      </c>
      <c r="K58" s="119">
        <f t="shared" si="24"/>
        <v>0.51453105392986931</v>
      </c>
      <c r="L58" s="98">
        <f t="shared" si="25"/>
        <v>0.55561265601452581</v>
      </c>
      <c r="M58" s="101">
        <f t="shared" si="34"/>
        <v>0.57949795585291453</v>
      </c>
      <c r="O58" s="100">
        <f t="shared" si="26"/>
        <v>2.1034362957147468</v>
      </c>
      <c r="P58" s="119">
        <f>IF('Temperature in bundle'!$P$4="Current = 1A per pair",2,IF($A58="","",('Temperature in bundle'!$Q$6-('Temperature in bundle'!$Q$6^2-4*(O58+Q$7)*'Temperature in bundle'!$Q$7)^0.5)/2/(O58+Q$7)))</f>
        <v>0.51456128289292824</v>
      </c>
      <c r="Q58" s="98">
        <f t="shared" si="35"/>
        <v>0.55693379849384428</v>
      </c>
      <c r="R58" s="101">
        <f t="shared" si="36"/>
        <v>0.58071507249616217</v>
      </c>
      <c r="T58" s="100">
        <f t="shared" si="28"/>
        <v>2.10344625769681</v>
      </c>
      <c r="U58" s="119">
        <f>IF('Temperature in bundle'!$P$4="Current = 1A per pair",2,IF($A58="","",('Temperature in bundle'!$Q$6-('Temperature in bundle'!$Q$6^2-4*(T58+V$7)*'Temperature in bundle'!$Q$7)^0.5)/2/(T58+V$7)))</f>
        <v>0.51456134604640014</v>
      </c>
      <c r="V58" s="98">
        <f t="shared" si="29"/>
        <v>0.55693657286942988</v>
      </c>
      <c r="W58" s="101">
        <f t="shared" si="37"/>
        <v>0.58071762830076146</v>
      </c>
      <c r="Y58" s="100">
        <f t="shared" si="30"/>
        <v>2.1034462786158241</v>
      </c>
      <c r="Z58" s="119">
        <f>IF('Temperature in bundle'!$P$4="Current = 1A per pair",2,IF($A58="","",('Temperature in bundle'!$Q$6-('Temperature in bundle'!$Q$6^2-4*(Y58+AA$7)*'Temperature in bundle'!$Q$7)^0.5)/2/(Y58+AA$7)))</f>
        <v>0.51456134617998694</v>
      </c>
      <c r="AA58" s="98">
        <f t="shared" si="31"/>
        <v>0.55693657869740387</v>
      </c>
      <c r="AB58" s="101">
        <f t="shared" si="38"/>
        <v>0.58071763366985107</v>
      </c>
    </row>
    <row r="59" spans="1:28">
      <c r="A59">
        <f t="shared" si="39"/>
        <v>9</v>
      </c>
      <c r="B59" s="113">
        <v>2</v>
      </c>
      <c r="C59" s="113">
        <v>0</v>
      </c>
      <c r="D59" s="113">
        <f>(B59^2+C59^2)^0.5</f>
        <v>2</v>
      </c>
      <c r="E59" s="113">
        <f>IF($A59="","",B59)</f>
        <v>2</v>
      </c>
      <c r="F59" s="113">
        <f>IF($A59="","",C59)</f>
        <v>0</v>
      </c>
      <c r="G59" s="113">
        <f t="shared" si="40"/>
        <v>1.5275252316519468</v>
      </c>
      <c r="J59" s="116">
        <f t="shared" si="33"/>
        <v>2.0986931609674486</v>
      </c>
      <c r="K59" s="119">
        <f t="shared" si="24"/>
        <v>0.51453105392986931</v>
      </c>
      <c r="L59" s="98">
        <f t="shared" si="25"/>
        <v>0.55561265601452581</v>
      </c>
      <c r="M59" s="101">
        <f t="shared" si="34"/>
        <v>0.57949795585291453</v>
      </c>
      <c r="O59" s="100">
        <f t="shared" si="26"/>
        <v>2.1034362957147468</v>
      </c>
      <c r="P59" s="119">
        <f>IF('Temperature in bundle'!$P$4="Current = 1A per pair",2,IF($A59="","",('Temperature in bundle'!$Q$6-('Temperature in bundle'!$Q$6^2-4*(O59+Q$7)*'Temperature in bundle'!$Q$7)^0.5)/2/(O59+Q$7)))</f>
        <v>0.51456128289292824</v>
      </c>
      <c r="Q59" s="98">
        <f t="shared" si="35"/>
        <v>0.55693379849384428</v>
      </c>
      <c r="R59" s="101">
        <f t="shared" si="36"/>
        <v>0.58071507249616217</v>
      </c>
      <c r="T59" s="100">
        <f t="shared" si="28"/>
        <v>2.10344625769681</v>
      </c>
      <c r="U59" s="119">
        <f>IF('Temperature in bundle'!$P$4="Current = 1A per pair",2,IF($A59="","",('Temperature in bundle'!$Q$6-('Temperature in bundle'!$Q$6^2-4*(T59+V$7)*'Temperature in bundle'!$Q$7)^0.5)/2/(T59+V$7)))</f>
        <v>0.51456134604640014</v>
      </c>
      <c r="V59" s="98">
        <f t="shared" si="29"/>
        <v>0.55693657286942988</v>
      </c>
      <c r="W59" s="101">
        <f t="shared" si="37"/>
        <v>0.58071762830076146</v>
      </c>
      <c r="Y59" s="100">
        <f t="shared" si="30"/>
        <v>2.1034462786158241</v>
      </c>
      <c r="Z59" s="119">
        <f>IF('Temperature in bundle'!$P$4="Current = 1A per pair",2,IF($A59="","",('Temperature in bundle'!$Q$6-('Temperature in bundle'!$Q$6^2-4*(Y59+AA$7)*'Temperature in bundle'!$Q$7)^0.5)/2/(Y59+AA$7)))</f>
        <v>0.51456134617998694</v>
      </c>
      <c r="AA59" s="98">
        <f t="shared" si="31"/>
        <v>0.55693657869740387</v>
      </c>
      <c r="AB59" s="101">
        <f t="shared" si="38"/>
        <v>0.58071763366985107</v>
      </c>
    </row>
    <row r="60" spans="1:28">
      <c r="A60">
        <f t="shared" si="39"/>
        <v>10</v>
      </c>
      <c r="B60" s="113">
        <v>1.5</v>
      </c>
      <c r="C60" s="113">
        <f>SQRT(3)/2</f>
        <v>0.8660254037844386</v>
      </c>
      <c r="D60" s="113">
        <f t="shared" si="41"/>
        <v>1.7320508075688772</v>
      </c>
      <c r="E60" s="113">
        <f t="shared" si="32"/>
        <v>1.5</v>
      </c>
      <c r="F60" s="113">
        <f t="shared" si="32"/>
        <v>0.8660254037844386</v>
      </c>
      <c r="G60" s="113">
        <f t="shared" si="40"/>
        <v>1.1547005383792515</v>
      </c>
      <c r="J60" s="116">
        <f t="shared" si="33"/>
        <v>2.0986931609674486</v>
      </c>
      <c r="K60" s="119">
        <f t="shared" si="24"/>
        <v>0.51453105392986931</v>
      </c>
      <c r="L60" s="98">
        <f t="shared" si="25"/>
        <v>0.55561265601452581</v>
      </c>
      <c r="M60" s="101">
        <f t="shared" si="34"/>
        <v>0.5955048918952377</v>
      </c>
      <c r="O60" s="100">
        <f t="shared" si="26"/>
        <v>2.1035673109388271</v>
      </c>
      <c r="P60" s="119">
        <f>IF('Temperature in bundle'!$P$4="Current = 1A per pair",2,IF($A60="","",('Temperature in bundle'!$Q$6-('Temperature in bundle'!$Q$6^2-4*(O60+Q$7)*'Temperature in bundle'!$Q$7)^0.5)/2/(O60+Q$7)))</f>
        <v>0.51456201830359571</v>
      </c>
      <c r="Q60" s="98">
        <f t="shared" si="35"/>
        <v>0.55697007986806391</v>
      </c>
      <c r="R60" s="101">
        <f t="shared" si="36"/>
        <v>0.59675562782578007</v>
      </c>
      <c r="T60" s="100">
        <f t="shared" si="28"/>
        <v>2.1035775480915073</v>
      </c>
      <c r="U60" s="119">
        <f>IF('Temperature in bundle'!$P$4="Current = 1A per pair",2,IF($A60="","",('Temperature in bundle'!$Q$6-('Temperature in bundle'!$Q$6^2-4*(T60+V$7)*'Temperature in bundle'!$Q$7)^0.5)/2/(T60+V$7)))</f>
        <v>0.51456208300201867</v>
      </c>
      <c r="V60" s="98">
        <f t="shared" si="29"/>
        <v>0.55697293046253737</v>
      </c>
      <c r="W60" s="101">
        <f t="shared" si="37"/>
        <v>0.5967582542270059</v>
      </c>
      <c r="Y60" s="100">
        <f t="shared" si="30"/>
        <v>2.1035775695883472</v>
      </c>
      <c r="Z60" s="119">
        <f>IF('Temperature in bundle'!$P$4="Current = 1A per pair",2,IF($A60="","",('Temperature in bundle'!$Q$6-('Temperature in bundle'!$Q$6^2-4*(Y60+AA$7)*'Temperature in bundle'!$Q$7)^0.5)/2/(Y60+AA$7)))</f>
        <v>0.51456208313884955</v>
      </c>
      <c r="AA60" s="98">
        <f t="shared" si="31"/>
        <v>0.55697293645056201</v>
      </c>
      <c r="AB60" s="101">
        <f t="shared" si="38"/>
        <v>0.59675825974440089</v>
      </c>
    </row>
    <row r="61" spans="1:28">
      <c r="A61">
        <f t="shared" si="39"/>
        <v>11</v>
      </c>
      <c r="B61" s="113">
        <v>1</v>
      </c>
      <c r="C61" s="113">
        <f>SQRT(3)</f>
        <v>1.7320508075688772</v>
      </c>
      <c r="D61" s="113">
        <f t="shared" si="41"/>
        <v>2</v>
      </c>
      <c r="E61" s="113">
        <f t="shared" si="32"/>
        <v>1</v>
      </c>
      <c r="F61" s="113">
        <f t="shared" si="32"/>
        <v>1.7320508075688772</v>
      </c>
      <c r="G61" s="113">
        <f t="shared" si="40"/>
        <v>1.5275252316519465</v>
      </c>
      <c r="J61" s="116">
        <f t="shared" si="33"/>
        <v>2.0986931609674486</v>
      </c>
      <c r="K61" s="119">
        <f t="shared" si="24"/>
        <v>0.51453105392986931</v>
      </c>
      <c r="L61" s="98">
        <f t="shared" si="25"/>
        <v>0.55561265601452581</v>
      </c>
      <c r="M61" s="101">
        <f t="shared" si="34"/>
        <v>0.57949795585291453</v>
      </c>
      <c r="O61" s="100">
        <f t="shared" si="26"/>
        <v>2.1034362957147468</v>
      </c>
      <c r="P61" s="119">
        <f>IF('Temperature in bundle'!$P$4="Current = 1A per pair",2,IF($A61="","",('Temperature in bundle'!$Q$6-('Temperature in bundle'!$Q$6^2-4*(O61+Q$7)*'Temperature in bundle'!$Q$7)^0.5)/2/(O61+Q$7)))</f>
        <v>0.51456128289292824</v>
      </c>
      <c r="Q61" s="98">
        <f t="shared" si="35"/>
        <v>0.55693379849384428</v>
      </c>
      <c r="R61" s="101">
        <f t="shared" si="36"/>
        <v>0.58071507249616217</v>
      </c>
      <c r="T61" s="100">
        <f t="shared" si="28"/>
        <v>2.10344625769681</v>
      </c>
      <c r="U61" s="119">
        <f>IF('Temperature in bundle'!$P$4="Current = 1A per pair",2,IF($A61="","",('Temperature in bundle'!$Q$6-('Temperature in bundle'!$Q$6^2-4*(T61+V$7)*'Temperature in bundle'!$Q$7)^0.5)/2/(T61+V$7)))</f>
        <v>0.51456134604640014</v>
      </c>
      <c r="V61" s="98">
        <f t="shared" si="29"/>
        <v>0.55693657286942988</v>
      </c>
      <c r="W61" s="101">
        <f t="shared" si="37"/>
        <v>0.58071762830076146</v>
      </c>
      <c r="Y61" s="100">
        <f t="shared" si="30"/>
        <v>2.1034462786158241</v>
      </c>
      <c r="Z61" s="119">
        <f>IF('Temperature in bundle'!$P$4="Current = 1A per pair",2,IF($A61="","",('Temperature in bundle'!$Q$6-('Temperature in bundle'!$Q$6^2-4*(Y61+AA$7)*'Temperature in bundle'!$Q$7)^0.5)/2/(Y61+AA$7)))</f>
        <v>0.51456134617998694</v>
      </c>
      <c r="AA61" s="98">
        <f t="shared" si="31"/>
        <v>0.55693657869740387</v>
      </c>
      <c r="AB61" s="101">
        <f t="shared" si="38"/>
        <v>0.58071763366985107</v>
      </c>
    </row>
    <row r="62" spans="1:28">
      <c r="A62">
        <f t="shared" si="39"/>
        <v>12</v>
      </c>
      <c r="B62" s="113">
        <v>0</v>
      </c>
      <c r="C62" s="113">
        <f>SQRT(3)</f>
        <v>1.7320508075688772</v>
      </c>
      <c r="D62" s="113">
        <f t="shared" si="41"/>
        <v>1.7320508075688772</v>
      </c>
      <c r="E62" s="113">
        <f t="shared" si="32"/>
        <v>0</v>
      </c>
      <c r="F62" s="113">
        <f t="shared" si="32"/>
        <v>1.7320508075688772</v>
      </c>
      <c r="G62" s="113">
        <f t="shared" si="40"/>
        <v>1.5275252316519465</v>
      </c>
      <c r="J62" s="116">
        <f t="shared" si="33"/>
        <v>2.0986931609674486</v>
      </c>
      <c r="K62" s="119">
        <f t="shared" si="24"/>
        <v>0.51453105392986931</v>
      </c>
      <c r="L62" s="98">
        <f t="shared" si="25"/>
        <v>0.55561265601452581</v>
      </c>
      <c r="M62" s="101">
        <f t="shared" si="34"/>
        <v>0.57949795585291453</v>
      </c>
      <c r="O62" s="100">
        <f t="shared" si="26"/>
        <v>2.1034362957147468</v>
      </c>
      <c r="P62" s="119">
        <f>IF('Temperature in bundle'!$P$4="Current = 1A per pair",2,IF($A62="","",('Temperature in bundle'!$Q$6-('Temperature in bundle'!$Q$6^2-4*(O62+Q$7)*'Temperature in bundle'!$Q$7)^0.5)/2/(O62+Q$7)))</f>
        <v>0.51456128289292824</v>
      </c>
      <c r="Q62" s="98">
        <f t="shared" si="35"/>
        <v>0.55693379849384428</v>
      </c>
      <c r="R62" s="101">
        <f t="shared" si="36"/>
        <v>0.58071507249616217</v>
      </c>
      <c r="T62" s="100">
        <f t="shared" si="28"/>
        <v>2.10344625769681</v>
      </c>
      <c r="U62" s="119">
        <f>IF('Temperature in bundle'!$P$4="Current = 1A per pair",2,IF($A62="","",('Temperature in bundle'!$Q$6-('Temperature in bundle'!$Q$6^2-4*(T62+V$7)*'Temperature in bundle'!$Q$7)^0.5)/2/(T62+V$7)))</f>
        <v>0.51456134604640014</v>
      </c>
      <c r="V62" s="98">
        <f t="shared" si="29"/>
        <v>0.55693657286942988</v>
      </c>
      <c r="W62" s="101">
        <f t="shared" si="37"/>
        <v>0.58071762830076146</v>
      </c>
      <c r="Y62" s="100">
        <f t="shared" si="30"/>
        <v>2.1034462786158241</v>
      </c>
      <c r="Z62" s="119">
        <f>IF('Temperature in bundle'!$P$4="Current = 1A per pair",2,IF($A62="","",('Temperature in bundle'!$Q$6-('Temperature in bundle'!$Q$6^2-4*(Y62+AA$7)*'Temperature in bundle'!$Q$7)^0.5)/2/(Y62+AA$7)))</f>
        <v>0.51456134617998694</v>
      </c>
      <c r="AA62" s="98">
        <f t="shared" si="31"/>
        <v>0.55693657869740387</v>
      </c>
      <c r="AB62" s="101">
        <f t="shared" si="38"/>
        <v>0.58071763366985107</v>
      </c>
    </row>
    <row r="63" spans="1:28">
      <c r="A63">
        <f t="shared" si="39"/>
        <v>13</v>
      </c>
      <c r="B63" s="113">
        <v>-1</v>
      </c>
      <c r="C63" s="113">
        <f>SQRT(3)</f>
        <v>1.7320508075688772</v>
      </c>
      <c r="D63" s="113">
        <f t="shared" si="41"/>
        <v>2</v>
      </c>
      <c r="E63" s="113">
        <f t="shared" si="32"/>
        <v>-1</v>
      </c>
      <c r="F63" s="113">
        <f t="shared" si="32"/>
        <v>1.7320508075688772</v>
      </c>
      <c r="G63" s="113">
        <f t="shared" si="40"/>
        <v>2.0816659994661326</v>
      </c>
      <c r="J63" s="116">
        <f t="shared" si="33"/>
        <v>2.0986931609674486</v>
      </c>
      <c r="K63" s="119">
        <f t="shared" si="24"/>
        <v>0.51453105392986931</v>
      </c>
      <c r="L63" s="98">
        <f t="shared" si="25"/>
        <v>0.55561265601452581</v>
      </c>
      <c r="M63" s="101">
        <f t="shared" si="34"/>
        <v>0.54748408376826807</v>
      </c>
      <c r="O63" s="100">
        <f t="shared" si="26"/>
        <v>2.1031742652665861</v>
      </c>
      <c r="P63" s="119">
        <f>IF('Temperature in bundle'!$P$4="Current = 1A per pair",2,IF($A63="","",('Temperature in bundle'!$Q$6-('Temperature in bundle'!$Q$6^2-4*(O63+Q$7)*'Temperature in bundle'!$Q$7)^0.5)/2/(O63+Q$7)))</f>
        <v>0.51455981208439616</v>
      </c>
      <c r="Q63" s="98">
        <f t="shared" si="35"/>
        <v>0.55686123637487661</v>
      </c>
      <c r="R63" s="101">
        <f t="shared" si="36"/>
        <v>0.54863396183692625</v>
      </c>
      <c r="T63" s="100">
        <f t="shared" si="28"/>
        <v>2.1031836769074168</v>
      </c>
      <c r="U63" s="119">
        <f>IF('Temperature in bundle'!$P$4="Current = 1A per pair",2,IF($A63="","",('Temperature in bundle'!$Q$6-('Temperature in bundle'!$Q$6^2-4*(T63+V$7)*'Temperature in bundle'!$Q$7)^0.5)/2/(T63+V$7)))</f>
        <v>0.51455987214801935</v>
      </c>
      <c r="V63" s="98">
        <f t="shared" si="29"/>
        <v>0.55686385831533336</v>
      </c>
      <c r="W63" s="101">
        <f t="shared" si="37"/>
        <v>0.54863637644827257</v>
      </c>
      <c r="Y63" s="100">
        <f t="shared" si="30"/>
        <v>2.1031836966707775</v>
      </c>
      <c r="Z63" s="119">
        <f>IF('Temperature in bundle'!$P$4="Current = 1A per pair",2,IF($A63="","",('Temperature in bundle'!$Q$6-('Temperature in bundle'!$Q$6^2-4*(Y63+AA$7)*'Temperature in bundle'!$Q$7)^0.5)/2/(Y63+AA$7)))</f>
        <v>0.51455987227511801</v>
      </c>
      <c r="AA63" s="98">
        <f t="shared" si="31"/>
        <v>0.55686386382321096</v>
      </c>
      <c r="AB63" s="101">
        <f t="shared" si="38"/>
        <v>0.54863638152075134</v>
      </c>
    </row>
    <row r="64" spans="1:28">
      <c r="A64">
        <f t="shared" si="39"/>
        <v>14</v>
      </c>
      <c r="B64" s="113">
        <v>-1.5</v>
      </c>
      <c r="C64" s="113">
        <f>SQRT(3)/2</f>
        <v>0.8660254037844386</v>
      </c>
      <c r="D64" s="113">
        <f t="shared" si="41"/>
        <v>1.7320508075688772</v>
      </c>
      <c r="E64" s="113">
        <f t="shared" si="32"/>
        <v>-1.5</v>
      </c>
      <c r="F64" s="113">
        <f t="shared" si="32"/>
        <v>0.8660254037844386</v>
      </c>
      <c r="G64" s="113">
        <f t="shared" si="40"/>
        <v>2.0816659994661326</v>
      </c>
      <c r="J64" s="116">
        <f t="shared" si="33"/>
        <v>2.0986931609674486</v>
      </c>
      <c r="K64" s="119">
        <f t="shared" si="24"/>
        <v>0.51453105392986931</v>
      </c>
      <c r="L64" s="98">
        <f t="shared" si="25"/>
        <v>0.55561265601452581</v>
      </c>
      <c r="M64" s="101">
        <f t="shared" si="34"/>
        <v>0.54748408376826807</v>
      </c>
      <c r="O64" s="100">
        <f t="shared" si="26"/>
        <v>2.1031742652665861</v>
      </c>
      <c r="P64" s="119">
        <f>IF('Temperature in bundle'!$P$4="Current = 1A per pair",2,IF($A64="","",('Temperature in bundle'!$Q$6-('Temperature in bundle'!$Q$6^2-4*(O64+Q$7)*'Temperature in bundle'!$Q$7)^0.5)/2/(O64+Q$7)))</f>
        <v>0.51455981208439616</v>
      </c>
      <c r="Q64" s="98">
        <f t="shared" si="35"/>
        <v>0.55686123637487661</v>
      </c>
      <c r="R64" s="101">
        <f t="shared" si="36"/>
        <v>0.54863396183692625</v>
      </c>
      <c r="T64" s="100">
        <f t="shared" si="28"/>
        <v>2.1031836769074168</v>
      </c>
      <c r="U64" s="119">
        <f>IF('Temperature in bundle'!$P$4="Current = 1A per pair",2,IF($A64="","",('Temperature in bundle'!$Q$6-('Temperature in bundle'!$Q$6^2-4*(T64+V$7)*'Temperature in bundle'!$Q$7)^0.5)/2/(T64+V$7)))</f>
        <v>0.51455987214801935</v>
      </c>
      <c r="V64" s="98">
        <f t="shared" si="29"/>
        <v>0.55686385831533336</v>
      </c>
      <c r="W64" s="101">
        <f t="shared" si="37"/>
        <v>0.54863637644827257</v>
      </c>
      <c r="Y64" s="100">
        <f t="shared" si="30"/>
        <v>2.1031836966707775</v>
      </c>
      <c r="Z64" s="119">
        <f>IF('Temperature in bundle'!$P$4="Current = 1A per pair",2,IF($A64="","",('Temperature in bundle'!$Q$6-('Temperature in bundle'!$Q$6^2-4*(Y64+AA$7)*'Temperature in bundle'!$Q$7)^0.5)/2/(Y64+AA$7)))</f>
        <v>0.51455987227511801</v>
      </c>
      <c r="AA64" s="98">
        <f t="shared" si="31"/>
        <v>0.55686386382321096</v>
      </c>
      <c r="AB64" s="101">
        <f t="shared" si="38"/>
        <v>0.54863638152075134</v>
      </c>
    </row>
    <row r="65" spans="1:28">
      <c r="A65">
        <f t="shared" si="39"/>
        <v>15</v>
      </c>
      <c r="B65" s="113">
        <v>-2</v>
      </c>
      <c r="C65" s="113">
        <v>0</v>
      </c>
      <c r="D65" s="113">
        <f t="shared" si="41"/>
        <v>2</v>
      </c>
      <c r="E65" s="113">
        <f t="shared" si="32"/>
        <v>-2</v>
      </c>
      <c r="F65" s="113">
        <f t="shared" si="32"/>
        <v>0</v>
      </c>
      <c r="G65" s="113">
        <f t="shared" si="40"/>
        <v>2.5166114784235831</v>
      </c>
      <c r="J65" s="116">
        <f t="shared" si="33"/>
        <v>2.0986931609674486</v>
      </c>
      <c r="K65" s="119">
        <f t="shared" si="24"/>
        <v>0.51453105392986931</v>
      </c>
      <c r="L65" s="98">
        <f t="shared" si="25"/>
        <v>0.55561265601452581</v>
      </c>
      <c r="M65" s="101">
        <f t="shared" si="34"/>
        <v>0.51547021168362162</v>
      </c>
      <c r="O65" s="100">
        <f t="shared" si="26"/>
        <v>2.1029122348184259</v>
      </c>
      <c r="P65" s="119">
        <f>IF('Temperature in bundle'!$P$4="Current = 1A per pair",2,IF($A65="","",('Temperature in bundle'!$Q$6-('Temperature in bundle'!$Q$6^2-4*(O65+Q$7)*'Temperature in bundle'!$Q$7)^0.5)/2/(O65+Q$7)))</f>
        <v>0.51455834129293476</v>
      </c>
      <c r="Q65" s="98">
        <f t="shared" si="35"/>
        <v>0.55678867509519037</v>
      </c>
      <c r="R65" s="101">
        <f t="shared" si="36"/>
        <v>0.51655285117769045</v>
      </c>
      <c r="T65" s="100">
        <f t="shared" si="28"/>
        <v>2.1029210961180236</v>
      </c>
      <c r="U65" s="119">
        <f>IF('Temperature in bundle'!$P$4="Current = 1A per pair",2,IF($A65="","",('Temperature in bundle'!$Q$6-('Temperature in bundle'!$Q$6^2-4*(T65+V$7)*'Temperature in bundle'!$Q$7)^0.5)/2/(T65+V$7)))</f>
        <v>0.51455839826677974</v>
      </c>
      <c r="V65" s="98">
        <f t="shared" si="29"/>
        <v>0.55679114460404522</v>
      </c>
      <c r="W65" s="101">
        <f t="shared" si="37"/>
        <v>0.51655512459578368</v>
      </c>
      <c r="Y65" s="100">
        <f t="shared" si="30"/>
        <v>2.102921114725731</v>
      </c>
      <c r="Z65" s="119">
        <f>IF('Temperature in bundle'!$P$4="Current = 1A per pair",2,IF($A65="","",('Temperature in bundle'!$Q$6-('Temperature in bundle'!$Q$6^2-4*(Y65+AA$7)*'Temperature in bundle'!$Q$7)^0.5)/2/(Y65+AA$7)))</f>
        <v>0.51455839838739026</v>
      </c>
      <c r="AA65" s="98">
        <f t="shared" si="31"/>
        <v>0.55679114979183375</v>
      </c>
      <c r="AB65" s="101">
        <f t="shared" si="38"/>
        <v>0.5165551293716516</v>
      </c>
    </row>
    <row r="66" spans="1:28">
      <c r="A66">
        <f t="shared" si="39"/>
        <v>16</v>
      </c>
      <c r="B66" s="113">
        <v>-1.5</v>
      </c>
      <c r="C66" s="113">
        <f>-SQRT(3)/2</f>
        <v>-0.8660254037844386</v>
      </c>
      <c r="D66" s="113">
        <f t="shared" si="41"/>
        <v>1.7320508075688772</v>
      </c>
      <c r="E66" s="113">
        <f t="shared" si="32"/>
        <v>-1.5</v>
      </c>
      <c r="F66" s="113">
        <f t="shared" si="32"/>
        <v>-0.8660254037844386</v>
      </c>
      <c r="G66" s="113">
        <f t="shared" si="40"/>
        <v>2.3094010767585029</v>
      </c>
      <c r="J66" s="116">
        <f t="shared" si="33"/>
        <v>2.0986931609674486</v>
      </c>
      <c r="K66" s="119">
        <f t="shared" si="24"/>
        <v>0.51453105392986931</v>
      </c>
      <c r="L66" s="98">
        <f t="shared" si="25"/>
        <v>0.55561265601452581</v>
      </c>
      <c r="M66" s="101">
        <f t="shared" si="34"/>
        <v>0.53147714772594479</v>
      </c>
      <c r="O66" s="100">
        <f t="shared" si="26"/>
        <v>2.1030432500425063</v>
      </c>
      <c r="P66" s="119">
        <f>IF('Temperature in bundle'!$P$4="Current = 1A per pair",2,IF($A66="","",('Temperature in bundle'!$Q$6-('Temperature in bundle'!$Q$6^2-4*(O66+Q$7)*'Temperature in bundle'!$Q$7)^0.5)/2/(O66+Q$7)))</f>
        <v>0.51455907668653145</v>
      </c>
      <c r="Q66" s="98">
        <f t="shared" si="35"/>
        <v>0.55682495563012402</v>
      </c>
      <c r="R66" s="101">
        <f t="shared" si="36"/>
        <v>0.53259340650730835</v>
      </c>
      <c r="T66" s="100">
        <f t="shared" si="28"/>
        <v>2.1030523865127204</v>
      </c>
      <c r="U66" s="119">
        <f>IF('Temperature in bundle'!$P$4="Current = 1A per pair",2,IF($A66="","",('Temperature in bundle'!$Q$6-('Temperature in bundle'!$Q$6^2-4*(T66+V$7)*'Temperature in bundle'!$Q$7)^0.5)/2/(T66+V$7)))</f>
        <v>0.5145591352052572</v>
      </c>
      <c r="V66" s="98">
        <f t="shared" si="29"/>
        <v>0.55682750135434012</v>
      </c>
      <c r="W66" s="101">
        <f t="shared" si="37"/>
        <v>0.53259575052202812</v>
      </c>
      <c r="Y66" s="100">
        <f t="shared" si="30"/>
        <v>2.103052405698254</v>
      </c>
      <c r="Z66" s="119">
        <f>IF('Temperature in bundle'!$P$4="Current = 1A per pair",2,IF($A66="","",('Temperature in bundle'!$Q$6-('Temperature in bundle'!$Q$6^2-4*(Y66+AA$7)*'Temperature in bundle'!$Q$7)^0.5)/2/(Y66+AA$7)))</f>
        <v>0.51455913532911146</v>
      </c>
      <c r="AA66" s="98">
        <f t="shared" si="31"/>
        <v>0.5568275067021714</v>
      </c>
      <c r="AB66" s="101">
        <f t="shared" si="38"/>
        <v>0.53259575544620152</v>
      </c>
    </row>
    <row r="67" spans="1:28">
      <c r="A67">
        <f t="shared" si="39"/>
        <v>17</v>
      </c>
      <c r="B67" s="113">
        <v>-1</v>
      </c>
      <c r="C67" s="113">
        <f>-SQRT(3)</f>
        <v>-1.7320508075688772</v>
      </c>
      <c r="D67" s="113">
        <f t="shared" si="41"/>
        <v>2</v>
      </c>
      <c r="E67" s="113">
        <f t="shared" si="32"/>
        <v>-1</v>
      </c>
      <c r="F67" s="113">
        <f t="shared" si="32"/>
        <v>-1.7320508075688772</v>
      </c>
      <c r="G67" s="113">
        <f t="shared" si="40"/>
        <v>2.5166114784235831</v>
      </c>
      <c r="J67" s="116">
        <f t="shared" si="33"/>
        <v>2.0986931609674486</v>
      </c>
      <c r="K67" s="119">
        <f t="shared" si="24"/>
        <v>0.51453105392986931</v>
      </c>
      <c r="L67" s="98">
        <f t="shared" si="25"/>
        <v>0.55561265601452581</v>
      </c>
      <c r="M67" s="101">
        <f t="shared" si="34"/>
        <v>0.51547021168362162</v>
      </c>
      <c r="O67" s="100">
        <f t="shared" si="26"/>
        <v>2.1029122348184259</v>
      </c>
      <c r="P67" s="119">
        <f>IF('Temperature in bundle'!$P$4="Current = 1A per pair",2,IF($A67="","",('Temperature in bundle'!$Q$6-('Temperature in bundle'!$Q$6^2-4*(O67+Q$7)*'Temperature in bundle'!$Q$7)^0.5)/2/(O67+Q$7)))</f>
        <v>0.51455834129293476</v>
      </c>
      <c r="Q67" s="98">
        <f t="shared" si="35"/>
        <v>0.55678867509519037</v>
      </c>
      <c r="R67" s="101">
        <f t="shared" si="36"/>
        <v>0.51655285117769045</v>
      </c>
      <c r="T67" s="100">
        <f t="shared" si="28"/>
        <v>2.1029210961180236</v>
      </c>
      <c r="U67" s="119">
        <f>IF('Temperature in bundle'!$P$4="Current = 1A per pair",2,IF($A67="","",('Temperature in bundle'!$Q$6-('Temperature in bundle'!$Q$6^2-4*(T67+V$7)*'Temperature in bundle'!$Q$7)^0.5)/2/(T67+V$7)))</f>
        <v>0.51455839826677974</v>
      </c>
      <c r="V67" s="98">
        <f t="shared" si="29"/>
        <v>0.55679114460404522</v>
      </c>
      <c r="W67" s="101">
        <f t="shared" si="37"/>
        <v>0.51655512459578368</v>
      </c>
      <c r="Y67" s="100">
        <f t="shared" si="30"/>
        <v>2.102921114725731</v>
      </c>
      <c r="Z67" s="119">
        <f>IF('Temperature in bundle'!$P$4="Current = 1A per pair",2,IF($A67="","",('Temperature in bundle'!$Q$6-('Temperature in bundle'!$Q$6^2-4*(Y67+AA$7)*'Temperature in bundle'!$Q$7)^0.5)/2/(Y67+AA$7)))</f>
        <v>0.51455839838739026</v>
      </c>
      <c r="AA67" s="98">
        <f t="shared" si="31"/>
        <v>0.55679114979183375</v>
      </c>
      <c r="AB67" s="101">
        <f t="shared" si="38"/>
        <v>0.5165551293716516</v>
      </c>
    </row>
    <row r="68" spans="1:28">
      <c r="A68">
        <f t="shared" si="39"/>
        <v>18</v>
      </c>
      <c r="B68" s="113">
        <v>0</v>
      </c>
      <c r="C68" s="113">
        <f>-SQRT(3)</f>
        <v>-1.7320508075688772</v>
      </c>
      <c r="D68" s="113">
        <f t="shared" si="41"/>
        <v>1.7320508075688772</v>
      </c>
      <c r="E68" s="113">
        <f t="shared" si="32"/>
        <v>0</v>
      </c>
      <c r="F68" s="113">
        <f t="shared" si="32"/>
        <v>-1.7320508075688772</v>
      </c>
      <c r="G68" s="113">
        <f t="shared" si="40"/>
        <v>2.0816659994661326</v>
      </c>
      <c r="J68" s="116">
        <f t="shared" si="33"/>
        <v>2.0986931609674486</v>
      </c>
      <c r="K68" s="119">
        <f t="shared" si="24"/>
        <v>0.51453105392986931</v>
      </c>
      <c r="L68" s="98">
        <f t="shared" si="25"/>
        <v>0.55561265601452581</v>
      </c>
      <c r="M68" s="101">
        <f t="shared" si="34"/>
        <v>0.54748408376826807</v>
      </c>
      <c r="O68" s="100">
        <f t="shared" si="26"/>
        <v>2.1031742652665861</v>
      </c>
      <c r="P68" s="119">
        <f>IF('Temperature in bundle'!$P$4="Current = 1A per pair",2,IF($A68="","",('Temperature in bundle'!$Q$6-('Temperature in bundle'!$Q$6^2-4*(O68+Q$7)*'Temperature in bundle'!$Q$7)^0.5)/2/(O68+Q$7)))</f>
        <v>0.51455981208439616</v>
      </c>
      <c r="Q68" s="98">
        <f t="shared" si="35"/>
        <v>0.55686123637487661</v>
      </c>
      <c r="R68" s="101">
        <f t="shared" si="36"/>
        <v>0.54863396183692625</v>
      </c>
      <c r="T68" s="100">
        <f t="shared" si="28"/>
        <v>2.1031836769074168</v>
      </c>
      <c r="U68" s="119">
        <f>IF('Temperature in bundle'!$P$4="Current = 1A per pair",2,IF($A68="","",('Temperature in bundle'!$Q$6-('Temperature in bundle'!$Q$6^2-4*(T68+V$7)*'Temperature in bundle'!$Q$7)^0.5)/2/(T68+V$7)))</f>
        <v>0.51455987214801935</v>
      </c>
      <c r="V68" s="98">
        <f t="shared" si="29"/>
        <v>0.55686385831533336</v>
      </c>
      <c r="W68" s="101">
        <f t="shared" si="37"/>
        <v>0.54863637644827257</v>
      </c>
      <c r="Y68" s="100">
        <f t="shared" si="30"/>
        <v>2.1031836966707775</v>
      </c>
      <c r="Z68" s="119">
        <f>IF('Temperature in bundle'!$P$4="Current = 1A per pair",2,IF($A68="","",('Temperature in bundle'!$Q$6-('Temperature in bundle'!$Q$6^2-4*(Y68+AA$7)*'Temperature in bundle'!$Q$7)^0.5)/2/(Y68+AA$7)))</f>
        <v>0.51455987227511801</v>
      </c>
      <c r="AA68" s="98">
        <f t="shared" si="31"/>
        <v>0.55686386382321096</v>
      </c>
      <c r="AB68" s="101">
        <f t="shared" si="38"/>
        <v>0.54863638152075134</v>
      </c>
    </row>
    <row r="69" spans="1:28">
      <c r="A69">
        <f t="shared" si="39"/>
        <v>19</v>
      </c>
      <c r="B69" s="113">
        <v>1</v>
      </c>
      <c r="C69" s="113">
        <f>-SQRT(3)</f>
        <v>-1.7320508075688772</v>
      </c>
      <c r="D69" s="113">
        <f t="shared" si="41"/>
        <v>2</v>
      </c>
      <c r="E69" s="113">
        <f t="shared" si="32"/>
        <v>1</v>
      </c>
      <c r="F69" s="113">
        <f t="shared" si="32"/>
        <v>-1.7320508075688772</v>
      </c>
      <c r="G69" s="113">
        <f t="shared" si="40"/>
        <v>2.0816659994661326</v>
      </c>
      <c r="J69" s="116">
        <f t="shared" si="33"/>
        <v>2.0986931609674486</v>
      </c>
      <c r="K69" s="119">
        <f t="shared" si="24"/>
        <v>0.51453105392986931</v>
      </c>
      <c r="L69" s="98">
        <f t="shared" si="25"/>
        <v>0.55561265601452581</v>
      </c>
      <c r="M69" s="101">
        <f t="shared" si="34"/>
        <v>0.54748408376826807</v>
      </c>
      <c r="O69" s="100">
        <f t="shared" si="26"/>
        <v>2.1031742652665861</v>
      </c>
      <c r="P69" s="119">
        <f>IF('Temperature in bundle'!$P$4="Current = 1A per pair",2,IF($A69="","",('Temperature in bundle'!$Q$6-('Temperature in bundle'!$Q$6^2-4*(O69+Q$7)*'Temperature in bundle'!$Q$7)^0.5)/2/(O69+Q$7)))</f>
        <v>0.51455981208439616</v>
      </c>
      <c r="Q69" s="98">
        <f t="shared" si="35"/>
        <v>0.55686123637487661</v>
      </c>
      <c r="R69" s="101">
        <f t="shared" si="36"/>
        <v>0.54863396183692625</v>
      </c>
      <c r="T69" s="100">
        <f t="shared" si="28"/>
        <v>2.1031836769074168</v>
      </c>
      <c r="U69" s="119">
        <f>IF('Temperature in bundle'!$P$4="Current = 1A per pair",2,IF($A69="","",('Temperature in bundle'!$Q$6-('Temperature in bundle'!$Q$6^2-4*(T69+V$7)*'Temperature in bundle'!$Q$7)^0.5)/2/(T69+V$7)))</f>
        <v>0.51455987214801935</v>
      </c>
      <c r="V69" s="98">
        <f t="shared" si="29"/>
        <v>0.55686385831533336</v>
      </c>
      <c r="W69" s="101">
        <f t="shared" si="37"/>
        <v>0.54863637644827257</v>
      </c>
      <c r="Y69" s="100">
        <f t="shared" si="30"/>
        <v>2.1031836966707775</v>
      </c>
      <c r="Z69" s="119">
        <f>IF('Temperature in bundle'!$P$4="Current = 1A per pair",2,IF($A69="","",('Temperature in bundle'!$Q$6-('Temperature in bundle'!$Q$6^2-4*(Y69+AA$7)*'Temperature in bundle'!$Q$7)^0.5)/2/(Y69+AA$7)))</f>
        <v>0.51455987227511801</v>
      </c>
      <c r="AA69" s="98">
        <f t="shared" si="31"/>
        <v>0.55686386382321096</v>
      </c>
      <c r="AB69" s="101">
        <f t="shared" si="38"/>
        <v>0.54863638152075134</v>
      </c>
    </row>
    <row r="70" spans="1:28">
      <c r="A70">
        <f t="shared" si="39"/>
        <v>20</v>
      </c>
      <c r="B70" s="113">
        <v>2</v>
      </c>
      <c r="C70" s="113">
        <f>-SQRT(3)</f>
        <v>-1.7320508075688772</v>
      </c>
      <c r="D70" s="113">
        <f t="shared" si="41"/>
        <v>2.6457513110645907</v>
      </c>
      <c r="E70" s="113">
        <f t="shared" si="32"/>
        <v>2</v>
      </c>
      <c r="F70" s="113">
        <f t="shared" si="32"/>
        <v>-1.7320508075688772</v>
      </c>
      <c r="G70" s="113">
        <f t="shared" si="40"/>
        <v>2.5166114784235831</v>
      </c>
      <c r="J70" s="116">
        <f t="shared" si="33"/>
        <v>2.0986931609674486</v>
      </c>
      <c r="K70" s="119">
        <f t="shared" si="24"/>
        <v>0.51453105392986931</v>
      </c>
      <c r="L70" s="98">
        <f t="shared" si="25"/>
        <v>0.55561265601452581</v>
      </c>
      <c r="M70" s="101">
        <f t="shared" si="34"/>
        <v>0.51547021168362162</v>
      </c>
      <c r="O70" s="100">
        <f t="shared" si="26"/>
        <v>2.1029122348184259</v>
      </c>
      <c r="P70" s="119">
        <f>IF('Temperature in bundle'!$P$4="Current = 1A per pair",2,IF($A70="","",('Temperature in bundle'!$Q$6-('Temperature in bundle'!$Q$6^2-4*(O70+Q$7)*'Temperature in bundle'!$Q$7)^0.5)/2/(O70+Q$7)))</f>
        <v>0.51455834129293476</v>
      </c>
      <c r="Q70" s="98">
        <f t="shared" si="35"/>
        <v>0.55678867509519037</v>
      </c>
      <c r="R70" s="101">
        <f t="shared" si="36"/>
        <v>0.51655285117769045</v>
      </c>
      <c r="T70" s="100">
        <f t="shared" si="28"/>
        <v>2.1029210961180236</v>
      </c>
      <c r="U70" s="119">
        <f>IF('Temperature in bundle'!$P$4="Current = 1A per pair",2,IF($A70="","",('Temperature in bundle'!$Q$6-('Temperature in bundle'!$Q$6^2-4*(T70+V$7)*'Temperature in bundle'!$Q$7)^0.5)/2/(T70+V$7)))</f>
        <v>0.51455839826677974</v>
      </c>
      <c r="V70" s="98">
        <f t="shared" si="29"/>
        <v>0.55679114460404522</v>
      </c>
      <c r="W70" s="101">
        <f t="shared" si="37"/>
        <v>0.51655512459578368</v>
      </c>
      <c r="Y70" s="100">
        <f t="shared" si="30"/>
        <v>2.102921114725731</v>
      </c>
      <c r="Z70" s="119">
        <f>IF('Temperature in bundle'!$P$4="Current = 1A per pair",2,IF($A70="","",('Temperature in bundle'!$Q$6-('Temperature in bundle'!$Q$6^2-4*(Y70+AA$7)*'Temperature in bundle'!$Q$7)^0.5)/2/(Y70+AA$7)))</f>
        <v>0.51455839838739026</v>
      </c>
      <c r="AA70" s="98">
        <f t="shared" si="31"/>
        <v>0.55679114979183375</v>
      </c>
      <c r="AB70" s="101">
        <f t="shared" si="38"/>
        <v>0.5165551293716516</v>
      </c>
    </row>
    <row r="71" spans="1:28">
      <c r="A71">
        <f t="shared" si="39"/>
        <v>21</v>
      </c>
      <c r="B71" s="113">
        <v>2.5</v>
      </c>
      <c r="C71" s="113">
        <f>-SQRT(3)/2</f>
        <v>-0.8660254037844386</v>
      </c>
      <c r="D71" s="113">
        <f t="shared" si="41"/>
        <v>2.6457513110645907</v>
      </c>
      <c r="E71" s="113">
        <f t="shared" si="32"/>
        <v>2.5</v>
      </c>
      <c r="F71" s="113">
        <f t="shared" si="32"/>
        <v>-0.8660254037844386</v>
      </c>
      <c r="G71" s="113">
        <f t="shared" si="40"/>
        <v>2.3094010767585029</v>
      </c>
      <c r="J71" s="116">
        <f t="shared" si="33"/>
        <v>2.0986931609674486</v>
      </c>
      <c r="K71" s="119">
        <f t="shared" si="24"/>
        <v>0.51453105392986931</v>
      </c>
      <c r="L71" s="98">
        <f t="shared" si="25"/>
        <v>0.55561265601452581</v>
      </c>
      <c r="M71" s="101">
        <f t="shared" si="34"/>
        <v>0.53147714772594479</v>
      </c>
      <c r="O71" s="100">
        <f t="shared" si="26"/>
        <v>2.1030432500425063</v>
      </c>
      <c r="P71" s="119">
        <f>IF('Temperature in bundle'!$P$4="Current = 1A per pair",2,IF($A71="","",('Temperature in bundle'!$Q$6-('Temperature in bundle'!$Q$6^2-4*(O71+Q$7)*'Temperature in bundle'!$Q$7)^0.5)/2/(O71+Q$7)))</f>
        <v>0.51455907668653145</v>
      </c>
      <c r="Q71" s="98">
        <f t="shared" si="35"/>
        <v>0.55682495563012402</v>
      </c>
      <c r="R71" s="101">
        <f t="shared" si="36"/>
        <v>0.53259340650730835</v>
      </c>
      <c r="T71" s="100">
        <f t="shared" si="28"/>
        <v>2.1030523865127204</v>
      </c>
      <c r="U71" s="119">
        <f>IF('Temperature in bundle'!$P$4="Current = 1A per pair",2,IF($A71="","",('Temperature in bundle'!$Q$6-('Temperature in bundle'!$Q$6^2-4*(T71+V$7)*'Temperature in bundle'!$Q$7)^0.5)/2/(T71+V$7)))</f>
        <v>0.5145591352052572</v>
      </c>
      <c r="V71" s="98">
        <f t="shared" si="29"/>
        <v>0.55682750135434012</v>
      </c>
      <c r="W71" s="101">
        <f t="shared" si="37"/>
        <v>0.53259575052202812</v>
      </c>
      <c r="Y71" s="100">
        <f t="shared" si="30"/>
        <v>2.103052405698254</v>
      </c>
      <c r="Z71" s="119">
        <f>IF('Temperature in bundle'!$P$4="Current = 1A per pair",2,IF($A71="","",('Temperature in bundle'!$Q$6-('Temperature in bundle'!$Q$6^2-4*(Y71+AA$7)*'Temperature in bundle'!$Q$7)^0.5)/2/(Y71+AA$7)))</f>
        <v>0.51455913532911146</v>
      </c>
      <c r="AA71" s="98">
        <f t="shared" si="31"/>
        <v>0.5568275067021714</v>
      </c>
      <c r="AB71" s="101">
        <f t="shared" si="38"/>
        <v>0.53259575544620152</v>
      </c>
    </row>
    <row r="72" spans="1:28">
      <c r="A72">
        <f t="shared" si="39"/>
        <v>22</v>
      </c>
      <c r="B72" s="113">
        <v>3</v>
      </c>
      <c r="C72" s="113">
        <v>0</v>
      </c>
      <c r="D72" s="113">
        <f t="shared" si="41"/>
        <v>3</v>
      </c>
      <c r="E72" s="113">
        <f t="shared" si="32"/>
        <v>3</v>
      </c>
      <c r="F72" s="113">
        <f t="shared" si="32"/>
        <v>0</v>
      </c>
      <c r="G72" s="113">
        <f t="shared" si="40"/>
        <v>2.5166114784235831</v>
      </c>
      <c r="J72" s="116">
        <f t="shared" si="33"/>
        <v>2.0986931609674486</v>
      </c>
      <c r="K72" s="119">
        <f t="shared" si="24"/>
        <v>0.51453105392986931</v>
      </c>
      <c r="L72" s="98">
        <f t="shared" si="25"/>
        <v>0.55561265601452581</v>
      </c>
      <c r="M72" s="101">
        <f t="shared" si="34"/>
        <v>0.51547021168362162</v>
      </c>
      <c r="O72" s="100">
        <f t="shared" si="26"/>
        <v>2.1029122348184259</v>
      </c>
      <c r="P72" s="119">
        <f>IF('Temperature in bundle'!$P$4="Current = 1A per pair",2,IF($A72="","",('Temperature in bundle'!$Q$6-('Temperature in bundle'!$Q$6^2-4*(O72+Q$7)*'Temperature in bundle'!$Q$7)^0.5)/2/(O72+Q$7)))</f>
        <v>0.51455834129293476</v>
      </c>
      <c r="Q72" s="98">
        <f t="shared" si="35"/>
        <v>0.55678867509519037</v>
      </c>
      <c r="R72" s="101">
        <f t="shared" si="36"/>
        <v>0.51655285117769045</v>
      </c>
      <c r="T72" s="100">
        <f t="shared" si="28"/>
        <v>2.1029210961180236</v>
      </c>
      <c r="U72" s="119">
        <f>IF('Temperature in bundle'!$P$4="Current = 1A per pair",2,IF($A72="","",('Temperature in bundle'!$Q$6-('Temperature in bundle'!$Q$6^2-4*(T72+V$7)*'Temperature in bundle'!$Q$7)^0.5)/2/(T72+V$7)))</f>
        <v>0.51455839826677974</v>
      </c>
      <c r="V72" s="98">
        <f t="shared" si="29"/>
        <v>0.55679114460404522</v>
      </c>
      <c r="W72" s="101">
        <f t="shared" si="37"/>
        <v>0.51655512459578368</v>
      </c>
      <c r="Y72" s="100">
        <f t="shared" si="30"/>
        <v>2.102921114725731</v>
      </c>
      <c r="Z72" s="119">
        <f>IF('Temperature in bundle'!$P$4="Current = 1A per pair",2,IF($A72="","",('Temperature in bundle'!$Q$6-('Temperature in bundle'!$Q$6^2-4*(Y72+AA$7)*'Temperature in bundle'!$Q$7)^0.5)/2/(Y72+AA$7)))</f>
        <v>0.51455839838739026</v>
      </c>
      <c r="AA72" s="98">
        <f t="shared" si="31"/>
        <v>0.55679114979183375</v>
      </c>
      <c r="AB72" s="101">
        <f t="shared" si="38"/>
        <v>0.5165551293716516</v>
      </c>
    </row>
    <row r="73" spans="1:28">
      <c r="A73">
        <f t="shared" si="39"/>
        <v>23</v>
      </c>
      <c r="B73" s="113">
        <v>2.5</v>
      </c>
      <c r="C73" s="113">
        <f>SQRT(3)/2</f>
        <v>0.8660254037844386</v>
      </c>
      <c r="D73" s="113">
        <f t="shared" si="41"/>
        <v>2.6457513110645907</v>
      </c>
      <c r="E73" s="113">
        <f t="shared" si="32"/>
        <v>2.5</v>
      </c>
      <c r="F73" s="113">
        <f t="shared" si="32"/>
        <v>0.8660254037844386</v>
      </c>
      <c r="G73" s="113">
        <f t="shared" si="40"/>
        <v>2.0816659994661326</v>
      </c>
      <c r="J73" s="116">
        <f t="shared" si="33"/>
        <v>2.0986931609674486</v>
      </c>
      <c r="K73" s="119">
        <f t="shared" si="24"/>
        <v>0.51453105392986931</v>
      </c>
      <c r="L73" s="98">
        <f t="shared" si="25"/>
        <v>0.55561265601452581</v>
      </c>
      <c r="M73" s="101">
        <f t="shared" si="34"/>
        <v>0.54748408376826807</v>
      </c>
      <c r="O73" s="100">
        <f t="shared" si="26"/>
        <v>2.1031742652665861</v>
      </c>
      <c r="P73" s="119">
        <f>IF('Temperature in bundle'!$P$4="Current = 1A per pair",2,IF($A73="","",('Temperature in bundle'!$Q$6-('Temperature in bundle'!$Q$6^2-4*(O73+Q$7)*'Temperature in bundle'!$Q$7)^0.5)/2/(O73+Q$7)))</f>
        <v>0.51455981208439616</v>
      </c>
      <c r="Q73" s="98">
        <f t="shared" si="35"/>
        <v>0.55686123637487661</v>
      </c>
      <c r="R73" s="101">
        <f t="shared" si="36"/>
        <v>0.54863396183692625</v>
      </c>
      <c r="T73" s="100">
        <f t="shared" si="28"/>
        <v>2.1031836769074168</v>
      </c>
      <c r="U73" s="119">
        <f>IF('Temperature in bundle'!$P$4="Current = 1A per pair",2,IF($A73="","",('Temperature in bundle'!$Q$6-('Temperature in bundle'!$Q$6^2-4*(T73+V$7)*'Temperature in bundle'!$Q$7)^0.5)/2/(T73+V$7)))</f>
        <v>0.51455987214801935</v>
      </c>
      <c r="V73" s="98">
        <f t="shared" si="29"/>
        <v>0.55686385831533336</v>
      </c>
      <c r="W73" s="101">
        <f t="shared" si="37"/>
        <v>0.54863637644827257</v>
      </c>
      <c r="Y73" s="100">
        <f t="shared" si="30"/>
        <v>2.1031836966707775</v>
      </c>
      <c r="Z73" s="119">
        <f>IF('Temperature in bundle'!$P$4="Current = 1A per pair",2,IF($A73="","",('Temperature in bundle'!$Q$6-('Temperature in bundle'!$Q$6^2-4*(Y73+AA$7)*'Temperature in bundle'!$Q$7)^0.5)/2/(Y73+AA$7)))</f>
        <v>0.51455987227511801</v>
      </c>
      <c r="AA73" s="98">
        <f t="shared" si="31"/>
        <v>0.55686386382321096</v>
      </c>
      <c r="AB73" s="101">
        <f t="shared" si="38"/>
        <v>0.54863638152075134</v>
      </c>
    </row>
    <row r="74" spans="1:28">
      <c r="A74">
        <f t="shared" si="39"/>
        <v>24</v>
      </c>
      <c r="B74" s="113">
        <v>2</v>
      </c>
      <c r="C74" s="113">
        <f>SQRT(3)</f>
        <v>1.7320508075688772</v>
      </c>
      <c r="D74" s="113">
        <f t="shared" si="41"/>
        <v>2.6457513110645907</v>
      </c>
      <c r="E74" s="113">
        <f t="shared" si="32"/>
        <v>2</v>
      </c>
      <c r="F74" s="113">
        <f t="shared" si="32"/>
        <v>1.7320508075688772</v>
      </c>
      <c r="G74" s="113">
        <f t="shared" si="40"/>
        <v>2.0816659994661326</v>
      </c>
      <c r="J74" s="116">
        <f t="shared" si="33"/>
        <v>2.0986931609674486</v>
      </c>
      <c r="K74" s="119">
        <f t="shared" si="24"/>
        <v>0.51453105392986931</v>
      </c>
      <c r="L74" s="98">
        <f t="shared" si="25"/>
        <v>0.55561265601452581</v>
      </c>
      <c r="M74" s="101">
        <f t="shared" si="34"/>
        <v>0.54748408376826807</v>
      </c>
      <c r="O74" s="100">
        <f t="shared" si="26"/>
        <v>2.1031742652665861</v>
      </c>
      <c r="P74" s="119">
        <f>IF('Temperature in bundle'!$P$4="Current = 1A per pair",2,IF($A74="","",('Temperature in bundle'!$Q$6-('Temperature in bundle'!$Q$6^2-4*(O74+Q$7)*'Temperature in bundle'!$Q$7)^0.5)/2/(O74+Q$7)))</f>
        <v>0.51455981208439616</v>
      </c>
      <c r="Q74" s="98">
        <f t="shared" si="35"/>
        <v>0.55686123637487661</v>
      </c>
      <c r="R74" s="101">
        <f t="shared" si="36"/>
        <v>0.54863396183692625</v>
      </c>
      <c r="T74" s="100">
        <f t="shared" si="28"/>
        <v>2.1031836769074168</v>
      </c>
      <c r="U74" s="119">
        <f>IF('Temperature in bundle'!$P$4="Current = 1A per pair",2,IF($A74="","",('Temperature in bundle'!$Q$6-('Temperature in bundle'!$Q$6^2-4*(T74+V$7)*'Temperature in bundle'!$Q$7)^0.5)/2/(T74+V$7)))</f>
        <v>0.51455987214801935</v>
      </c>
      <c r="V74" s="98">
        <f t="shared" si="29"/>
        <v>0.55686385831533336</v>
      </c>
      <c r="W74" s="101">
        <f t="shared" si="37"/>
        <v>0.54863637644827257</v>
      </c>
      <c r="Y74" s="100">
        <f t="shared" si="30"/>
        <v>2.1031836966707775</v>
      </c>
      <c r="Z74" s="119">
        <f>IF('Temperature in bundle'!$P$4="Current = 1A per pair",2,IF($A74="","",('Temperature in bundle'!$Q$6-('Temperature in bundle'!$Q$6^2-4*(Y74+AA$7)*'Temperature in bundle'!$Q$7)^0.5)/2/(Y74+AA$7)))</f>
        <v>0.51455987227511801</v>
      </c>
      <c r="AA74" s="98">
        <f t="shared" si="31"/>
        <v>0.55686386382321096</v>
      </c>
      <c r="AB74" s="101">
        <f t="shared" si="38"/>
        <v>0.54863638152075134</v>
      </c>
    </row>
    <row r="75" spans="1:28">
      <c r="A75">
        <f t="shared" si="39"/>
        <v>25</v>
      </c>
      <c r="B75" s="113">
        <v>1.5</v>
      </c>
      <c r="C75" s="113">
        <f>SQRT(3)/2*3</f>
        <v>2.598076211353316</v>
      </c>
      <c r="D75" s="113">
        <f t="shared" si="41"/>
        <v>3</v>
      </c>
      <c r="E75" s="113">
        <f t="shared" si="32"/>
        <v>1.5</v>
      </c>
      <c r="F75" s="113">
        <f t="shared" si="32"/>
        <v>2.598076211353316</v>
      </c>
      <c r="G75" s="113">
        <f t="shared" si="40"/>
        <v>2.5166114784235831</v>
      </c>
      <c r="J75" s="116">
        <f t="shared" si="33"/>
        <v>2.0986931609674486</v>
      </c>
      <c r="K75" s="119">
        <f t="shared" si="24"/>
        <v>0.51453105392986931</v>
      </c>
      <c r="L75" s="98">
        <f t="shared" si="25"/>
        <v>0.55561265601452581</v>
      </c>
      <c r="M75" s="101">
        <f t="shared" si="34"/>
        <v>0.51547021168362162</v>
      </c>
      <c r="O75" s="100">
        <f t="shared" si="26"/>
        <v>2.1029122348184259</v>
      </c>
      <c r="P75" s="119">
        <f>IF('Temperature in bundle'!$P$4="Current = 1A per pair",2,IF($A75="","",('Temperature in bundle'!$Q$6-('Temperature in bundle'!$Q$6^2-4*(O75+Q$7)*'Temperature in bundle'!$Q$7)^0.5)/2/(O75+Q$7)))</f>
        <v>0.51455834129293476</v>
      </c>
      <c r="Q75" s="98">
        <f t="shared" si="35"/>
        <v>0.55678867509519037</v>
      </c>
      <c r="R75" s="101">
        <f t="shared" si="36"/>
        <v>0.51655285117769045</v>
      </c>
      <c r="T75" s="100">
        <f t="shared" si="28"/>
        <v>2.1029210961180236</v>
      </c>
      <c r="U75" s="119">
        <f>IF('Temperature in bundle'!$P$4="Current = 1A per pair",2,IF($A75="","",('Temperature in bundle'!$Q$6-('Temperature in bundle'!$Q$6^2-4*(T75+V$7)*'Temperature in bundle'!$Q$7)^0.5)/2/(T75+V$7)))</f>
        <v>0.51455839826677974</v>
      </c>
      <c r="V75" s="98">
        <f t="shared" si="29"/>
        <v>0.55679114460404522</v>
      </c>
      <c r="W75" s="101">
        <f t="shared" si="37"/>
        <v>0.51655512459578368</v>
      </c>
      <c r="Y75" s="100">
        <f t="shared" si="30"/>
        <v>2.102921114725731</v>
      </c>
      <c r="Z75" s="119">
        <f>IF('Temperature in bundle'!$P$4="Current = 1A per pair",2,IF($A75="","",('Temperature in bundle'!$Q$6-('Temperature in bundle'!$Q$6^2-4*(Y75+AA$7)*'Temperature in bundle'!$Q$7)^0.5)/2/(Y75+AA$7)))</f>
        <v>0.51455839838739026</v>
      </c>
      <c r="AA75" s="98">
        <f t="shared" si="31"/>
        <v>0.55679114979183375</v>
      </c>
      <c r="AB75" s="101">
        <f t="shared" si="38"/>
        <v>0.5165551293716516</v>
      </c>
    </row>
    <row r="76" spans="1:28">
      <c r="A76">
        <f t="shared" si="39"/>
        <v>26</v>
      </c>
      <c r="B76" s="113">
        <v>0.5</v>
      </c>
      <c r="C76" s="113">
        <f>SQRT(3)/2*3</f>
        <v>2.598076211353316</v>
      </c>
      <c r="D76" s="113">
        <f t="shared" si="41"/>
        <v>2.6457513110645907</v>
      </c>
      <c r="E76" s="113">
        <f t="shared" si="32"/>
        <v>0.5</v>
      </c>
      <c r="F76" s="113">
        <f t="shared" si="32"/>
        <v>2.598076211353316</v>
      </c>
      <c r="G76" s="113">
        <f t="shared" si="40"/>
        <v>2.3094010767585029</v>
      </c>
      <c r="J76" s="116">
        <f t="shared" si="33"/>
        <v>2.0986931609674486</v>
      </c>
      <c r="K76" s="119">
        <f t="shared" si="24"/>
        <v>0.51453105392986931</v>
      </c>
      <c r="L76" s="98">
        <f t="shared" si="25"/>
        <v>0.55561265601452581</v>
      </c>
      <c r="M76" s="101">
        <f t="shared" si="34"/>
        <v>0.53147714772594479</v>
      </c>
      <c r="O76" s="100">
        <f t="shared" si="26"/>
        <v>2.1030432500425063</v>
      </c>
      <c r="P76" s="119">
        <f>IF('Temperature in bundle'!$P$4="Current = 1A per pair",2,IF($A76="","",('Temperature in bundle'!$Q$6-('Temperature in bundle'!$Q$6^2-4*(O76+Q$7)*'Temperature in bundle'!$Q$7)^0.5)/2/(O76+Q$7)))</f>
        <v>0.51455907668653145</v>
      </c>
      <c r="Q76" s="98">
        <f t="shared" si="35"/>
        <v>0.55682495563012402</v>
      </c>
      <c r="R76" s="101">
        <f t="shared" si="36"/>
        <v>0.53259340650730835</v>
      </c>
      <c r="T76" s="100">
        <f t="shared" si="28"/>
        <v>2.1030523865127204</v>
      </c>
      <c r="U76" s="119">
        <f>IF('Temperature in bundle'!$P$4="Current = 1A per pair",2,IF($A76="","",('Temperature in bundle'!$Q$6-('Temperature in bundle'!$Q$6^2-4*(T76+V$7)*'Temperature in bundle'!$Q$7)^0.5)/2/(T76+V$7)))</f>
        <v>0.5145591352052572</v>
      </c>
      <c r="V76" s="98">
        <f t="shared" si="29"/>
        <v>0.55682750135434012</v>
      </c>
      <c r="W76" s="101">
        <f t="shared" si="37"/>
        <v>0.53259575052202812</v>
      </c>
      <c r="Y76" s="100">
        <f t="shared" si="30"/>
        <v>2.103052405698254</v>
      </c>
      <c r="Z76" s="119">
        <f>IF('Temperature in bundle'!$P$4="Current = 1A per pair",2,IF($A76="","",('Temperature in bundle'!$Q$6-('Temperature in bundle'!$Q$6^2-4*(Y76+AA$7)*'Temperature in bundle'!$Q$7)^0.5)/2/(Y76+AA$7)))</f>
        <v>0.51455913532911146</v>
      </c>
      <c r="AA76" s="98">
        <f t="shared" si="31"/>
        <v>0.5568275067021714</v>
      </c>
      <c r="AB76" s="101">
        <f t="shared" si="38"/>
        <v>0.53259575544620152</v>
      </c>
    </row>
    <row r="77" spans="1:28">
      <c r="A77">
        <f t="shared" si="39"/>
        <v>27</v>
      </c>
      <c r="B77" s="113">
        <v>-0.5</v>
      </c>
      <c r="C77" s="113">
        <f t="shared" ref="C77:C78" si="42">SQRT(3)/2*3</f>
        <v>2.598076211353316</v>
      </c>
      <c r="D77" s="113">
        <f t="shared" si="41"/>
        <v>2.6457513110645907</v>
      </c>
      <c r="E77" s="113">
        <f t="shared" si="32"/>
        <v>-0.5</v>
      </c>
      <c r="F77" s="113">
        <f t="shared" si="32"/>
        <v>2.598076211353316</v>
      </c>
      <c r="G77" s="113">
        <f t="shared" si="40"/>
        <v>2.5166114784235831</v>
      </c>
      <c r="J77" s="116">
        <f t="shared" si="33"/>
        <v>2.0986931609674486</v>
      </c>
      <c r="K77" s="119">
        <f t="shared" si="24"/>
        <v>0.51453105392986931</v>
      </c>
      <c r="L77" s="98">
        <f t="shared" si="25"/>
        <v>0.55561265601452581</v>
      </c>
      <c r="M77" s="101">
        <f t="shared" si="34"/>
        <v>0.51547021168362162</v>
      </c>
      <c r="O77" s="100">
        <f t="shared" si="26"/>
        <v>2.1029122348184259</v>
      </c>
      <c r="P77" s="119">
        <f>IF('Temperature in bundle'!$P$4="Current = 1A per pair",2,IF($A77="","",('Temperature in bundle'!$Q$6-('Temperature in bundle'!$Q$6^2-4*(O77+Q$7)*'Temperature in bundle'!$Q$7)^0.5)/2/(O77+Q$7)))</f>
        <v>0.51455834129293476</v>
      </c>
      <c r="Q77" s="98">
        <f t="shared" si="35"/>
        <v>0.55678867509519037</v>
      </c>
      <c r="R77" s="101">
        <f t="shared" si="36"/>
        <v>0.51655285117769045</v>
      </c>
      <c r="T77" s="100">
        <f t="shared" si="28"/>
        <v>2.1029210961180236</v>
      </c>
      <c r="U77" s="119">
        <f>IF('Temperature in bundle'!$P$4="Current = 1A per pair",2,IF($A77="","",('Temperature in bundle'!$Q$6-('Temperature in bundle'!$Q$6^2-4*(T77+V$7)*'Temperature in bundle'!$Q$7)^0.5)/2/(T77+V$7)))</f>
        <v>0.51455839826677974</v>
      </c>
      <c r="V77" s="98">
        <f t="shared" si="29"/>
        <v>0.55679114460404522</v>
      </c>
      <c r="W77" s="101">
        <f t="shared" si="37"/>
        <v>0.51655512459578368</v>
      </c>
      <c r="Y77" s="100">
        <f t="shared" si="30"/>
        <v>2.102921114725731</v>
      </c>
      <c r="Z77" s="119">
        <f>IF('Temperature in bundle'!$P$4="Current = 1A per pair",2,IF($A77="","",('Temperature in bundle'!$Q$6-('Temperature in bundle'!$Q$6^2-4*(Y77+AA$7)*'Temperature in bundle'!$Q$7)^0.5)/2/(Y77+AA$7)))</f>
        <v>0.51455839838739026</v>
      </c>
      <c r="AA77" s="98">
        <f t="shared" si="31"/>
        <v>0.55679114979183375</v>
      </c>
      <c r="AB77" s="101">
        <f t="shared" si="38"/>
        <v>0.5165551293716516</v>
      </c>
    </row>
    <row r="78" spans="1:28">
      <c r="A78">
        <f t="shared" si="39"/>
        <v>28</v>
      </c>
      <c r="B78" s="113">
        <v>-1.5</v>
      </c>
      <c r="C78" s="113">
        <f t="shared" si="42"/>
        <v>2.598076211353316</v>
      </c>
      <c r="D78" s="113">
        <f t="shared" si="41"/>
        <v>3</v>
      </c>
      <c r="E78" s="113">
        <f t="shared" si="32"/>
        <v>-1.5</v>
      </c>
      <c r="F78" s="113">
        <f t="shared" si="32"/>
        <v>2.598076211353316</v>
      </c>
      <c r="G78" s="113">
        <f t="shared" si="40"/>
        <v>3.0550504633038931</v>
      </c>
      <c r="J78" s="116">
        <f t="shared" si="33"/>
        <v>2.0986931609674486</v>
      </c>
      <c r="K78" s="119">
        <f t="shared" si="24"/>
        <v>0.51453105392986931</v>
      </c>
      <c r="L78" s="98">
        <f t="shared" si="25"/>
        <v>0.55561265601452581</v>
      </c>
      <c r="M78" s="101">
        <f t="shared" si="34"/>
        <v>0.46744940355665193</v>
      </c>
      <c r="O78" s="100">
        <f t="shared" si="26"/>
        <v>2.102519189146185</v>
      </c>
      <c r="P78" s="119">
        <f>IF('Temperature in bundle'!$P$4="Current = 1A per pair",2,IF($A78="","",('Temperature in bundle'!$Q$6-('Temperature in bundle'!$Q$6^2-4*(O78+Q$7)*'Temperature in bundle'!$Q$7)^0.5)/2/(O78+Q$7)))</f>
        <v>0.51455613513774145</v>
      </c>
      <c r="Q78" s="98">
        <f t="shared" si="35"/>
        <v>0.55667983474925609</v>
      </c>
      <c r="R78" s="101">
        <f t="shared" si="36"/>
        <v>0.46843118518883664</v>
      </c>
      <c r="T78" s="100">
        <f t="shared" si="28"/>
        <v>2.1025272249339335</v>
      </c>
      <c r="U78" s="119">
        <f>IF('Temperature in bundle'!$P$4="Current = 1A per pair",2,IF($A78="","",('Temperature in bundle'!$Q$6-('Temperature in bundle'!$Q$6^2-4*(T78+V$7)*'Temperature in bundle'!$Q$7)^0.5)/2/(T78+V$7)))</f>
        <v>0.51455618747705834</v>
      </c>
      <c r="V78" s="98">
        <f t="shared" si="29"/>
        <v>0.55668207561733651</v>
      </c>
      <c r="W78" s="101">
        <f t="shared" si="37"/>
        <v>0.46843324681705029</v>
      </c>
      <c r="Y78" s="100">
        <f t="shared" si="30"/>
        <v>2.1025272418081613</v>
      </c>
      <c r="Z78" s="119">
        <f>IF('Temperature in bundle'!$P$4="Current = 1A per pair",2,IF($A78="","",('Temperature in bundle'!$Q$6-('Temperature in bundle'!$Q$6^2-4*(Y78+AA$7)*'Temperature in bundle'!$Q$7)^0.5)/2/(Y78+AA$7)))</f>
        <v>0.51455618758793642</v>
      </c>
      <c r="AA78" s="98">
        <f t="shared" si="31"/>
        <v>0.55668208032500421</v>
      </c>
      <c r="AB78" s="101">
        <f t="shared" si="38"/>
        <v>0.46843325114800216</v>
      </c>
    </row>
    <row r="79" spans="1:28">
      <c r="A79">
        <f t="shared" si="39"/>
        <v>29</v>
      </c>
      <c r="B79" s="113">
        <v>-2</v>
      </c>
      <c r="C79" s="113">
        <f>SQRT(3)</f>
        <v>1.7320508075688772</v>
      </c>
      <c r="D79" s="113">
        <f t="shared" si="41"/>
        <v>2.6457513110645907</v>
      </c>
      <c r="E79" s="113">
        <f t="shared" si="32"/>
        <v>-2</v>
      </c>
      <c r="F79" s="113">
        <f t="shared" si="32"/>
        <v>1.7320508075688772</v>
      </c>
      <c r="G79" s="113">
        <f t="shared" si="40"/>
        <v>2.8867513459481287</v>
      </c>
      <c r="J79" s="116">
        <f t="shared" si="33"/>
        <v>2.0986931609674486</v>
      </c>
      <c r="K79" s="119">
        <f t="shared" si="24"/>
        <v>0.51453105392986931</v>
      </c>
      <c r="L79" s="98">
        <f t="shared" si="25"/>
        <v>0.55561265601452581</v>
      </c>
      <c r="M79" s="101">
        <f t="shared" si="34"/>
        <v>0.48345633959897516</v>
      </c>
      <c r="O79" s="100">
        <f t="shared" si="26"/>
        <v>2.1026502043702653</v>
      </c>
      <c r="P79" s="119">
        <f>IF('Temperature in bundle'!$P$4="Current = 1A per pair",2,IF($A79="","",('Temperature in bundle'!$Q$6-('Temperature in bundle'!$Q$6^2-4*(O79+Q$7)*'Temperature in bundle'!$Q$7)^0.5)/2/(O79+Q$7)))</f>
        <v>0.51455687051853849</v>
      </c>
      <c r="Q79" s="98">
        <f t="shared" si="35"/>
        <v>0.55671611465475579</v>
      </c>
      <c r="R79" s="101">
        <f t="shared" si="36"/>
        <v>0.48447174051845454</v>
      </c>
      <c r="T79" s="100">
        <f t="shared" si="28"/>
        <v>2.1026585153286304</v>
      </c>
      <c r="U79" s="119">
        <f>IF('Temperature in bundle'!$P$4="Current = 1A per pair",2,IF($A79="","",('Temperature in bundle'!$Q$6-('Temperature in bundle'!$Q$6^2-4*(T79+V$7)*'Temperature in bundle'!$Q$7)^0.5)/2/(T79+V$7)))</f>
        <v>0.51455692440268086</v>
      </c>
      <c r="V79" s="98">
        <f t="shared" si="29"/>
        <v>0.55671843173554691</v>
      </c>
      <c r="W79" s="101">
        <f t="shared" si="37"/>
        <v>0.48447387274329473</v>
      </c>
      <c r="Y79" s="100">
        <f t="shared" si="30"/>
        <v>2.1026585327806844</v>
      </c>
      <c r="Z79" s="119">
        <f>IF('Temperature in bundle'!$P$4="Current = 1A per pair",2,IF($A79="","",('Temperature in bundle'!$Q$6-('Temperature in bundle'!$Q$6^2-4*(Y79+AA$7)*'Temperature in bundle'!$Q$7)^0.5)/2/(Y79+AA$7)))</f>
        <v>0.51455692451680213</v>
      </c>
      <c r="AA79" s="98">
        <f t="shared" si="31"/>
        <v>0.55671843660325093</v>
      </c>
      <c r="AB79" s="101">
        <f t="shared" si="38"/>
        <v>0.48447387722255197</v>
      </c>
    </row>
    <row r="80" spans="1:28">
      <c r="A80">
        <f t="shared" si="39"/>
        <v>30</v>
      </c>
      <c r="B80" s="113">
        <v>-2.5</v>
      </c>
      <c r="C80" s="113">
        <f>SQRT(3)/2</f>
        <v>0.8660254037844386</v>
      </c>
      <c r="D80" s="113">
        <f t="shared" si="41"/>
        <v>2.6457513110645907</v>
      </c>
      <c r="E80" s="113">
        <f t="shared" si="32"/>
        <v>-2.5</v>
      </c>
      <c r="F80" s="113">
        <f t="shared" si="32"/>
        <v>0.8660254037844386</v>
      </c>
      <c r="G80" s="113">
        <f t="shared" si="40"/>
        <v>3.0550504633038935</v>
      </c>
      <c r="J80" s="116">
        <f t="shared" si="33"/>
        <v>2.0986931609674486</v>
      </c>
      <c r="K80" s="119">
        <f t="shared" si="24"/>
        <v>0.51453105392986931</v>
      </c>
      <c r="L80" s="98">
        <f t="shared" si="25"/>
        <v>0.55561265601452581</v>
      </c>
      <c r="M80" s="101">
        <f t="shared" si="34"/>
        <v>0.46744940355665188</v>
      </c>
      <c r="O80" s="100">
        <f t="shared" si="26"/>
        <v>2.102519189146185</v>
      </c>
      <c r="P80" s="119">
        <f>IF('Temperature in bundle'!$P$4="Current = 1A per pair",2,IF($A80="","",('Temperature in bundle'!$Q$6-('Temperature in bundle'!$Q$6^2-4*(O80+Q$7)*'Temperature in bundle'!$Q$7)^0.5)/2/(O80+Q$7)))</f>
        <v>0.51455613513774145</v>
      </c>
      <c r="Q80" s="98">
        <f t="shared" si="35"/>
        <v>0.55667983474925609</v>
      </c>
      <c r="R80" s="101">
        <f t="shared" si="36"/>
        <v>0.46843118518883659</v>
      </c>
      <c r="T80" s="100">
        <f t="shared" si="28"/>
        <v>2.1025272249339335</v>
      </c>
      <c r="U80" s="119">
        <f>IF('Temperature in bundle'!$P$4="Current = 1A per pair",2,IF($A80="","",('Temperature in bundle'!$Q$6-('Temperature in bundle'!$Q$6^2-4*(T80+V$7)*'Temperature in bundle'!$Q$7)^0.5)/2/(T80+V$7)))</f>
        <v>0.51455618747705834</v>
      </c>
      <c r="V80" s="98">
        <f t="shared" si="29"/>
        <v>0.55668207561733651</v>
      </c>
      <c r="W80" s="101">
        <f t="shared" si="37"/>
        <v>0.46843324681705023</v>
      </c>
      <c r="Y80" s="100">
        <f t="shared" si="30"/>
        <v>2.1025272418081613</v>
      </c>
      <c r="Z80" s="119">
        <f>IF('Temperature in bundle'!$P$4="Current = 1A per pair",2,IF($A80="","",('Temperature in bundle'!$Q$6-('Temperature in bundle'!$Q$6^2-4*(Y80+AA$7)*'Temperature in bundle'!$Q$7)^0.5)/2/(Y80+AA$7)))</f>
        <v>0.51455618758793642</v>
      </c>
      <c r="AA80" s="98">
        <f t="shared" si="31"/>
        <v>0.55668208032500421</v>
      </c>
      <c r="AB80" s="101">
        <f t="shared" si="38"/>
        <v>0.46843325114800211</v>
      </c>
    </row>
    <row r="81" spans="1:28">
      <c r="A81">
        <f t="shared" si="39"/>
        <v>31</v>
      </c>
      <c r="B81" s="113">
        <v>-3</v>
      </c>
      <c r="C81" s="113">
        <v>0</v>
      </c>
      <c r="D81" s="113">
        <f t="shared" si="41"/>
        <v>3</v>
      </c>
      <c r="E81" s="113">
        <f t="shared" si="32"/>
        <v>-3</v>
      </c>
      <c r="F81" s="113">
        <f t="shared" si="32"/>
        <v>0</v>
      </c>
      <c r="G81" s="113">
        <f t="shared" si="40"/>
        <v>3.5118845842842465</v>
      </c>
      <c r="J81" s="116">
        <f t="shared" si="33"/>
        <v>2.0986931609674486</v>
      </c>
      <c r="K81" s="119">
        <f t="shared" si="24"/>
        <v>0.51453105392986931</v>
      </c>
      <c r="L81" s="98">
        <f t="shared" si="25"/>
        <v>0.55561265601452581</v>
      </c>
      <c r="M81" s="101">
        <f t="shared" si="34"/>
        <v>0.41942859542968214</v>
      </c>
      <c r="O81" s="100">
        <f t="shared" si="26"/>
        <v>2.102126143473944</v>
      </c>
      <c r="P81" s="119">
        <f>IF('Temperature in bundle'!$P$4="Current = 1A per pair",2,IF($A81="","",('Temperature in bundle'!$Q$6-('Temperature in bundle'!$Q$6^2-4*(O81+Q$7)*'Temperature in bundle'!$Q$7)^0.5)/2/(O81+Q$7)))</f>
        <v>0.51455392902095065</v>
      </c>
      <c r="Q81" s="98">
        <f t="shared" si="35"/>
        <v>0.55657099629159212</v>
      </c>
      <c r="R81" s="101">
        <f t="shared" si="36"/>
        <v>0.42030951919998277</v>
      </c>
      <c r="T81" s="100">
        <f t="shared" si="28"/>
        <v>2.102133353749843</v>
      </c>
      <c r="U81" s="119">
        <f>IF('Temperature in bundle'!$P$4="Current = 1A per pair",2,IF($A81="","",('Temperature in bundle'!$Q$6-('Temperature in bundle'!$Q$6^2-4*(T81+V$7)*'Temperature in bundle'!$Q$7)^0.5)/2/(T81+V$7)))</f>
        <v>0.51455397672589853</v>
      </c>
      <c r="V81" s="98">
        <f t="shared" si="29"/>
        <v>0.55657300852683422</v>
      </c>
      <c r="W81" s="101">
        <f t="shared" si="37"/>
        <v>0.42031136903831684</v>
      </c>
      <c r="Y81" s="100">
        <f t="shared" si="30"/>
        <v>2.1021333688905912</v>
      </c>
      <c r="Z81" s="119">
        <f>IF('Temperature in bundle'!$P$4="Current = 1A per pair",2,IF($A81="","",('Temperature in bundle'!$Q$6-('Temperature in bundle'!$Q$6^2-4*(Y81+AA$7)*'Temperature in bundle'!$Q$7)^0.5)/2/(Y81+AA$7)))</f>
        <v>0.51455397682704518</v>
      </c>
      <c r="AA81" s="98">
        <f t="shared" si="31"/>
        <v>0.55657301275439919</v>
      </c>
      <c r="AB81" s="101">
        <f t="shared" si="38"/>
        <v>0.4203113729243525</v>
      </c>
    </row>
    <row r="82" spans="1:28">
      <c r="A82">
        <f t="shared" si="39"/>
        <v>32</v>
      </c>
      <c r="B82" s="113">
        <v>-2.5</v>
      </c>
      <c r="C82" s="113">
        <f>-SQRT(3)/2</f>
        <v>-0.8660254037844386</v>
      </c>
      <c r="D82" s="113">
        <f t="shared" si="41"/>
        <v>2.6457513110645907</v>
      </c>
      <c r="E82" s="113">
        <f t="shared" si="32"/>
        <v>-2.5</v>
      </c>
      <c r="F82" s="113">
        <f t="shared" si="32"/>
        <v>-0.8660254037844386</v>
      </c>
      <c r="G82" s="113">
        <f t="shared" si="40"/>
        <v>3.2145502536643185</v>
      </c>
      <c r="J82" s="116">
        <f t="shared" si="33"/>
        <v>2.0986931609674486</v>
      </c>
      <c r="K82" s="119">
        <f t="shared" si="24"/>
        <v>0.51453105392986931</v>
      </c>
      <c r="L82" s="98">
        <f t="shared" si="25"/>
        <v>0.55561265601452581</v>
      </c>
      <c r="M82" s="101">
        <f t="shared" si="34"/>
        <v>0.45144246751432865</v>
      </c>
      <c r="O82" s="100">
        <f t="shared" si="26"/>
        <v>2.1023881739221046</v>
      </c>
      <c r="P82" s="119">
        <f>IF('Temperature in bundle'!$P$4="Current = 1A per pair",2,IF($A82="","",('Temperature in bundle'!$Q$6-('Temperature in bundle'!$Q$6^2-4*(O82+Q$7)*'Temperature in bundle'!$Q$7)^0.5)/2/(O82+Q$7)))</f>
        <v>0.51455539976121101</v>
      </c>
      <c r="Q82" s="98">
        <f t="shared" si="35"/>
        <v>0.55664355505356344</v>
      </c>
      <c r="R82" s="101">
        <f t="shared" si="36"/>
        <v>0.45239062985921868</v>
      </c>
      <c r="T82" s="100">
        <f t="shared" si="28"/>
        <v>2.1023959345392371</v>
      </c>
      <c r="U82" s="119">
        <f>IF('Temperature in bundle'!$P$4="Current = 1A per pair",2,IF($A82="","",('Temperature in bundle'!$Q$6-('Temperature in bundle'!$Q$6^2-4*(T82+V$7)*'Temperature in bundle'!$Q$7)^0.5)/2/(T82+V$7)))</f>
        <v>0.51455545055572016</v>
      </c>
      <c r="V82" s="98">
        <f t="shared" si="29"/>
        <v>0.55664571970981525</v>
      </c>
      <c r="W82" s="101">
        <f t="shared" si="37"/>
        <v>0.45239262089080584</v>
      </c>
      <c r="Y82" s="100">
        <f t="shared" si="30"/>
        <v>2.1023959508356378</v>
      </c>
      <c r="Z82" s="119">
        <f>IF('Temperature in bundle'!$P$4="Current = 1A per pair",2,IF($A82="","",('Temperature in bundle'!$Q$6-('Temperature in bundle'!$Q$6^2-4*(Y82+AA$7)*'Temperature in bundle'!$Q$7)^0.5)/2/(Y82+AA$7)))</f>
        <v>0.51455545066335473</v>
      </c>
      <c r="AA82" s="98">
        <f t="shared" si="31"/>
        <v>0.55664572425744741</v>
      </c>
      <c r="AB82" s="101">
        <f t="shared" si="38"/>
        <v>0.45239262507345229</v>
      </c>
    </row>
    <row r="83" spans="1:28">
      <c r="A83">
        <f t="shared" si="39"/>
        <v>33</v>
      </c>
      <c r="B83" s="113">
        <v>-2</v>
      </c>
      <c r="C83" s="113">
        <f>-SQRT(3)</f>
        <v>-1.7320508075688772</v>
      </c>
      <c r="D83" s="113">
        <f t="shared" si="41"/>
        <v>2.6457513110645907</v>
      </c>
      <c r="E83" s="113">
        <f t="shared" si="32"/>
        <v>-2</v>
      </c>
      <c r="F83" s="113">
        <f t="shared" si="32"/>
        <v>-1.7320508075688772</v>
      </c>
      <c r="G83" s="113">
        <f t="shared" si="40"/>
        <v>3.214550253664318</v>
      </c>
      <c r="J83" s="116">
        <f t="shared" si="33"/>
        <v>2.0986931609674486</v>
      </c>
      <c r="K83" s="119">
        <f t="shared" si="24"/>
        <v>0.51453105392986931</v>
      </c>
      <c r="L83" s="98">
        <f t="shared" si="25"/>
        <v>0.55561265601452581</v>
      </c>
      <c r="M83" s="101">
        <f t="shared" si="34"/>
        <v>0.45144246751432865</v>
      </c>
      <c r="O83" s="100">
        <f t="shared" si="26"/>
        <v>2.1023881739221046</v>
      </c>
      <c r="P83" s="119">
        <f>IF('Temperature in bundle'!$P$4="Current = 1A per pair",2,IF($A83="","",('Temperature in bundle'!$Q$6-('Temperature in bundle'!$Q$6^2-4*(O83+Q$7)*'Temperature in bundle'!$Q$7)^0.5)/2/(O83+Q$7)))</f>
        <v>0.51455539976121101</v>
      </c>
      <c r="Q83" s="98">
        <f t="shared" si="35"/>
        <v>0.55664355505356344</v>
      </c>
      <c r="R83" s="101">
        <f t="shared" si="36"/>
        <v>0.45239062985921868</v>
      </c>
      <c r="T83" s="100">
        <f t="shared" si="28"/>
        <v>2.1023959345392371</v>
      </c>
      <c r="U83" s="119">
        <f>IF('Temperature in bundle'!$P$4="Current = 1A per pair",2,IF($A83="","",('Temperature in bundle'!$Q$6-('Temperature in bundle'!$Q$6^2-4*(T83+V$7)*'Temperature in bundle'!$Q$7)^0.5)/2/(T83+V$7)))</f>
        <v>0.51455545055572016</v>
      </c>
      <c r="V83" s="98">
        <f t="shared" si="29"/>
        <v>0.55664571970981525</v>
      </c>
      <c r="W83" s="101">
        <f t="shared" si="37"/>
        <v>0.45239262089080584</v>
      </c>
      <c r="Y83" s="100">
        <f t="shared" si="30"/>
        <v>2.1023959508356378</v>
      </c>
      <c r="Z83" s="119">
        <f>IF('Temperature in bundle'!$P$4="Current = 1A per pair",2,IF($A83="","",('Temperature in bundle'!$Q$6-('Temperature in bundle'!$Q$6^2-4*(Y83+AA$7)*'Temperature in bundle'!$Q$7)^0.5)/2/(Y83+AA$7)))</f>
        <v>0.51455545066335473</v>
      </c>
      <c r="AA83" s="98">
        <f t="shared" si="31"/>
        <v>0.55664572425744741</v>
      </c>
      <c r="AB83" s="101">
        <f t="shared" si="38"/>
        <v>0.45239262507345229</v>
      </c>
    </row>
    <row r="84" spans="1:28">
      <c r="A84">
        <f t="shared" si="39"/>
        <v>34</v>
      </c>
      <c r="B84" s="113">
        <v>-1.5</v>
      </c>
      <c r="C84" s="113">
        <f>-SQRT(3)/2*3</f>
        <v>-2.598076211353316</v>
      </c>
      <c r="D84" s="113">
        <f t="shared" si="41"/>
        <v>3</v>
      </c>
      <c r="E84" s="113">
        <f t="shared" si="32"/>
        <v>-1.5</v>
      </c>
      <c r="F84" s="113">
        <f t="shared" si="32"/>
        <v>-2.598076211353316</v>
      </c>
      <c r="G84" s="113">
        <f t="shared" si="40"/>
        <v>3.5118845842842465</v>
      </c>
      <c r="J84" s="116">
        <f t="shared" si="33"/>
        <v>2.0986931609674486</v>
      </c>
      <c r="K84" s="119">
        <f t="shared" si="24"/>
        <v>0.51453105392986931</v>
      </c>
      <c r="L84" s="98">
        <f t="shared" si="25"/>
        <v>0.55561265601452581</v>
      </c>
      <c r="M84" s="101">
        <f t="shared" si="34"/>
        <v>0.41942859542968214</v>
      </c>
      <c r="O84" s="100">
        <f t="shared" si="26"/>
        <v>2.102126143473944</v>
      </c>
      <c r="P84" s="119">
        <f>IF('Temperature in bundle'!$P$4="Current = 1A per pair",2,IF($A84="","",('Temperature in bundle'!$Q$6-('Temperature in bundle'!$Q$6^2-4*(O84+Q$7)*'Temperature in bundle'!$Q$7)^0.5)/2/(O84+Q$7)))</f>
        <v>0.51455392902095065</v>
      </c>
      <c r="Q84" s="98">
        <f t="shared" si="35"/>
        <v>0.55657099629159212</v>
      </c>
      <c r="R84" s="101">
        <f t="shared" si="36"/>
        <v>0.42030951919998277</v>
      </c>
      <c r="T84" s="100">
        <f t="shared" si="28"/>
        <v>2.102133353749843</v>
      </c>
      <c r="U84" s="119">
        <f>IF('Temperature in bundle'!$P$4="Current = 1A per pair",2,IF($A84="","",('Temperature in bundle'!$Q$6-('Temperature in bundle'!$Q$6^2-4*(T84+V$7)*'Temperature in bundle'!$Q$7)^0.5)/2/(T84+V$7)))</f>
        <v>0.51455397672589853</v>
      </c>
      <c r="V84" s="98">
        <f t="shared" si="29"/>
        <v>0.55657300852683422</v>
      </c>
      <c r="W84" s="101">
        <f t="shared" si="37"/>
        <v>0.42031136903831684</v>
      </c>
      <c r="Y84" s="100">
        <f t="shared" si="30"/>
        <v>2.1021333688905912</v>
      </c>
      <c r="Z84" s="119">
        <f>IF('Temperature in bundle'!$P$4="Current = 1A per pair",2,IF($A84="","",('Temperature in bundle'!$Q$6-('Temperature in bundle'!$Q$6^2-4*(Y84+AA$7)*'Temperature in bundle'!$Q$7)^0.5)/2/(Y84+AA$7)))</f>
        <v>0.51455397682704518</v>
      </c>
      <c r="AA84" s="98">
        <f t="shared" si="31"/>
        <v>0.55657301275439919</v>
      </c>
      <c r="AB84" s="101">
        <f t="shared" si="38"/>
        <v>0.4203113729243525</v>
      </c>
    </row>
    <row r="85" spans="1:28">
      <c r="A85">
        <f t="shared" si="39"/>
        <v>35</v>
      </c>
      <c r="B85" s="113">
        <v>-0.5</v>
      </c>
      <c r="C85" s="113">
        <f>-SQRT(3)/2*3</f>
        <v>-2.598076211353316</v>
      </c>
      <c r="D85" s="113">
        <f t="shared" si="41"/>
        <v>2.6457513110645907</v>
      </c>
      <c r="E85" s="113">
        <f t="shared" si="32"/>
        <v>-0.5</v>
      </c>
      <c r="F85" s="113">
        <f t="shared" si="32"/>
        <v>-2.598076211353316</v>
      </c>
      <c r="G85" s="113">
        <f t="shared" si="40"/>
        <v>3.0550504633038935</v>
      </c>
      <c r="J85" s="116">
        <f t="shared" si="33"/>
        <v>2.0986931609674486</v>
      </c>
      <c r="K85" s="119">
        <f t="shared" si="24"/>
        <v>0.51453105392986931</v>
      </c>
      <c r="L85" s="98">
        <f t="shared" si="25"/>
        <v>0.55561265601452581</v>
      </c>
      <c r="M85" s="101">
        <f t="shared" si="34"/>
        <v>0.46744940355665188</v>
      </c>
      <c r="O85" s="100">
        <f t="shared" si="26"/>
        <v>2.102519189146185</v>
      </c>
      <c r="P85" s="119">
        <f>IF('Temperature in bundle'!$P$4="Current = 1A per pair",2,IF($A85="","",('Temperature in bundle'!$Q$6-('Temperature in bundle'!$Q$6^2-4*(O85+Q$7)*'Temperature in bundle'!$Q$7)^0.5)/2/(O85+Q$7)))</f>
        <v>0.51455613513774145</v>
      </c>
      <c r="Q85" s="98">
        <f t="shared" si="35"/>
        <v>0.55667983474925609</v>
      </c>
      <c r="R85" s="101">
        <f t="shared" si="36"/>
        <v>0.46843118518883659</v>
      </c>
      <c r="T85" s="100">
        <f t="shared" si="28"/>
        <v>2.1025272249339335</v>
      </c>
      <c r="U85" s="119">
        <f>IF('Temperature in bundle'!$P$4="Current = 1A per pair",2,IF($A85="","",('Temperature in bundle'!$Q$6-('Temperature in bundle'!$Q$6^2-4*(T85+V$7)*'Temperature in bundle'!$Q$7)^0.5)/2/(T85+V$7)))</f>
        <v>0.51455618747705834</v>
      </c>
      <c r="V85" s="98">
        <f t="shared" si="29"/>
        <v>0.55668207561733651</v>
      </c>
      <c r="W85" s="101">
        <f t="shared" si="37"/>
        <v>0.46843324681705023</v>
      </c>
      <c r="Y85" s="100">
        <f t="shared" si="30"/>
        <v>2.1025272418081613</v>
      </c>
      <c r="Z85" s="119">
        <f>IF('Temperature in bundle'!$P$4="Current = 1A per pair",2,IF($A85="","",('Temperature in bundle'!$Q$6-('Temperature in bundle'!$Q$6^2-4*(Y85+AA$7)*'Temperature in bundle'!$Q$7)^0.5)/2/(Y85+AA$7)))</f>
        <v>0.51455618758793642</v>
      </c>
      <c r="AA85" s="98">
        <f t="shared" si="31"/>
        <v>0.55668208032500421</v>
      </c>
      <c r="AB85" s="101">
        <f t="shared" si="38"/>
        <v>0.46843325114800211</v>
      </c>
    </row>
    <row r="86" spans="1:28">
      <c r="A86">
        <f t="shared" si="39"/>
        <v>36</v>
      </c>
      <c r="B86" s="113">
        <v>0.5</v>
      </c>
      <c r="C86" s="113">
        <f>-SQRT(3)/2*3</f>
        <v>-2.598076211353316</v>
      </c>
      <c r="D86" s="113">
        <f t="shared" si="41"/>
        <v>2.6457513110645907</v>
      </c>
      <c r="E86" s="113">
        <f t="shared" si="32"/>
        <v>0.5</v>
      </c>
      <c r="F86" s="113">
        <f t="shared" si="32"/>
        <v>-2.598076211353316</v>
      </c>
      <c r="G86" s="113">
        <f t="shared" si="40"/>
        <v>2.8867513459481291</v>
      </c>
      <c r="J86" s="116">
        <f t="shared" si="33"/>
        <v>2.0986931609674486</v>
      </c>
      <c r="K86" s="119">
        <f t="shared" si="24"/>
        <v>0.51453105392986931</v>
      </c>
      <c r="L86" s="98">
        <f t="shared" si="25"/>
        <v>0.55561265601452581</v>
      </c>
      <c r="M86" s="101">
        <f t="shared" si="34"/>
        <v>0.4834563395989751</v>
      </c>
      <c r="O86" s="100">
        <f t="shared" si="26"/>
        <v>2.1026502043702653</v>
      </c>
      <c r="P86" s="119">
        <f>IF('Temperature in bundle'!$P$4="Current = 1A per pair",2,IF($A86="","",('Temperature in bundle'!$Q$6-('Temperature in bundle'!$Q$6^2-4*(O86+Q$7)*'Temperature in bundle'!$Q$7)^0.5)/2/(O86+Q$7)))</f>
        <v>0.51455687051853849</v>
      </c>
      <c r="Q86" s="98">
        <f t="shared" si="35"/>
        <v>0.55671611465475579</v>
      </c>
      <c r="R86" s="101">
        <f t="shared" si="36"/>
        <v>0.48447174051845454</v>
      </c>
      <c r="T86" s="100">
        <f t="shared" si="28"/>
        <v>2.1026585153286304</v>
      </c>
      <c r="U86" s="119">
        <f>IF('Temperature in bundle'!$P$4="Current = 1A per pair",2,IF($A86="","",('Temperature in bundle'!$Q$6-('Temperature in bundle'!$Q$6^2-4*(T86+V$7)*'Temperature in bundle'!$Q$7)^0.5)/2/(T86+V$7)))</f>
        <v>0.51455692440268086</v>
      </c>
      <c r="V86" s="98">
        <f t="shared" si="29"/>
        <v>0.55671843173554691</v>
      </c>
      <c r="W86" s="101">
        <f t="shared" si="37"/>
        <v>0.48447387274329468</v>
      </c>
      <c r="Y86" s="100">
        <f t="shared" si="30"/>
        <v>2.1026585327806844</v>
      </c>
      <c r="Z86" s="119">
        <f>IF('Temperature in bundle'!$P$4="Current = 1A per pair",2,IF($A86="","",('Temperature in bundle'!$Q$6-('Temperature in bundle'!$Q$6^2-4*(Y86+AA$7)*'Temperature in bundle'!$Q$7)^0.5)/2/(Y86+AA$7)))</f>
        <v>0.51455692451680213</v>
      </c>
      <c r="AA86" s="98">
        <f t="shared" si="31"/>
        <v>0.55671843660325093</v>
      </c>
      <c r="AB86" s="101">
        <f t="shared" si="38"/>
        <v>0.48447387722255192</v>
      </c>
    </row>
    <row r="87" spans="1:28">
      <c r="A87">
        <f t="shared" si="39"/>
        <v>37</v>
      </c>
      <c r="B87" s="113">
        <v>1.5</v>
      </c>
      <c r="C87" s="113">
        <f>-SQRT(3)/2*3</f>
        <v>-2.598076211353316</v>
      </c>
      <c r="D87" s="113">
        <f t="shared" si="41"/>
        <v>3</v>
      </c>
      <c r="E87" s="113">
        <f t="shared" si="32"/>
        <v>1.5</v>
      </c>
      <c r="F87" s="113">
        <f t="shared" si="32"/>
        <v>-2.598076211353316</v>
      </c>
      <c r="G87" s="113">
        <f t="shared" si="40"/>
        <v>3.0550504633038935</v>
      </c>
      <c r="J87" s="116">
        <f t="shared" si="33"/>
        <v>2.0986931609674486</v>
      </c>
      <c r="K87" s="119">
        <f t="shared" si="24"/>
        <v>0.51453105392986931</v>
      </c>
      <c r="L87" s="98">
        <f t="shared" si="25"/>
        <v>0.55561265601452581</v>
      </c>
      <c r="M87" s="101">
        <f t="shared" si="34"/>
        <v>0.46744940355665188</v>
      </c>
      <c r="O87" s="100">
        <f t="shared" si="26"/>
        <v>2.102519189146185</v>
      </c>
      <c r="P87" s="119">
        <f>IF('Temperature in bundle'!$P$4="Current = 1A per pair",2,IF($A87="","",('Temperature in bundle'!$Q$6-('Temperature in bundle'!$Q$6^2-4*(O87+Q$7)*'Temperature in bundle'!$Q$7)^0.5)/2/(O87+Q$7)))</f>
        <v>0.51455613513774145</v>
      </c>
      <c r="Q87" s="98">
        <f t="shared" si="35"/>
        <v>0.55667983474925609</v>
      </c>
      <c r="R87" s="101">
        <f t="shared" si="36"/>
        <v>0.46843118518883659</v>
      </c>
      <c r="T87" s="100">
        <f t="shared" si="28"/>
        <v>2.1025272249339335</v>
      </c>
      <c r="U87" s="119">
        <f>IF('Temperature in bundle'!$P$4="Current = 1A per pair",2,IF($A87="","",('Temperature in bundle'!$Q$6-('Temperature in bundle'!$Q$6^2-4*(T87+V$7)*'Temperature in bundle'!$Q$7)^0.5)/2/(T87+V$7)))</f>
        <v>0.51455618747705834</v>
      </c>
      <c r="V87" s="98">
        <f t="shared" si="29"/>
        <v>0.55668207561733651</v>
      </c>
      <c r="W87" s="101">
        <f t="shared" si="37"/>
        <v>0.46843324681705023</v>
      </c>
      <c r="Y87" s="100">
        <f t="shared" si="30"/>
        <v>2.1025272418081613</v>
      </c>
      <c r="Z87" s="119">
        <f>IF('Temperature in bundle'!$P$4="Current = 1A per pair",2,IF($A87="","",('Temperature in bundle'!$Q$6-('Temperature in bundle'!$Q$6^2-4*(Y87+AA$7)*'Temperature in bundle'!$Q$7)^0.5)/2/(Y87+AA$7)))</f>
        <v>0.51455618758793642</v>
      </c>
      <c r="AA87" s="98">
        <f t="shared" si="31"/>
        <v>0.55668208032500421</v>
      </c>
      <c r="AB87" s="101">
        <f t="shared" si="38"/>
        <v>0.46843325114800211</v>
      </c>
    </row>
    <row r="88" spans="1:28">
      <c r="A88">
        <f t="shared" si="39"/>
        <v>38</v>
      </c>
      <c r="B88" s="113">
        <v>2.5</v>
      </c>
      <c r="C88" s="113">
        <f>-SQRT(3)/2*3</f>
        <v>-2.598076211353316</v>
      </c>
      <c r="D88" s="113">
        <f t="shared" si="41"/>
        <v>3.6055512754639891</v>
      </c>
      <c r="E88" s="113">
        <f t="shared" si="32"/>
        <v>2.5</v>
      </c>
      <c r="F88" s="113">
        <f t="shared" si="32"/>
        <v>-2.598076211353316</v>
      </c>
      <c r="G88" s="113">
        <f t="shared" si="40"/>
        <v>3.5118845842842465</v>
      </c>
      <c r="J88" s="116">
        <f t="shared" si="33"/>
        <v>2.0986931609674486</v>
      </c>
      <c r="K88" s="119">
        <f t="shared" si="24"/>
        <v>0.51453105392986931</v>
      </c>
      <c r="L88" s="98">
        <f t="shared" si="25"/>
        <v>0.55561265601452581</v>
      </c>
      <c r="M88" s="101">
        <f t="shared" si="34"/>
        <v>0.41942859542968214</v>
      </c>
      <c r="O88" s="100">
        <f t="shared" si="26"/>
        <v>2.102126143473944</v>
      </c>
      <c r="P88" s="119">
        <f>IF('Temperature in bundle'!$P$4="Current = 1A per pair",2,IF($A88="","",('Temperature in bundle'!$Q$6-('Temperature in bundle'!$Q$6^2-4*(O88+Q$7)*'Temperature in bundle'!$Q$7)^0.5)/2/(O88+Q$7)))</f>
        <v>0.51455392902095065</v>
      </c>
      <c r="Q88" s="98">
        <f t="shared" si="35"/>
        <v>0.55657099629159212</v>
      </c>
      <c r="R88" s="101">
        <f t="shared" si="36"/>
        <v>0.42030951919998277</v>
      </c>
      <c r="T88" s="100">
        <f t="shared" si="28"/>
        <v>2.102133353749843</v>
      </c>
      <c r="U88" s="119">
        <f>IF('Temperature in bundle'!$P$4="Current = 1A per pair",2,IF($A88="","",('Temperature in bundle'!$Q$6-('Temperature in bundle'!$Q$6^2-4*(T88+V$7)*'Temperature in bundle'!$Q$7)^0.5)/2/(T88+V$7)))</f>
        <v>0.51455397672589853</v>
      </c>
      <c r="V88" s="98">
        <f t="shared" si="29"/>
        <v>0.55657300852683422</v>
      </c>
      <c r="W88" s="101">
        <f t="shared" si="37"/>
        <v>0.42031136903831684</v>
      </c>
      <c r="Y88" s="100">
        <f t="shared" si="30"/>
        <v>2.1021333688905912</v>
      </c>
      <c r="Z88" s="119">
        <f>IF('Temperature in bundle'!$P$4="Current = 1A per pair",2,IF($A88="","",('Temperature in bundle'!$Q$6-('Temperature in bundle'!$Q$6^2-4*(Y88+AA$7)*'Temperature in bundle'!$Q$7)^0.5)/2/(Y88+AA$7)))</f>
        <v>0.51455397682704518</v>
      </c>
      <c r="AA88" s="98">
        <f t="shared" si="31"/>
        <v>0.55657301275439919</v>
      </c>
      <c r="AB88" s="101">
        <f t="shared" si="38"/>
        <v>0.4203113729243525</v>
      </c>
    </row>
    <row r="89" spans="1:28">
      <c r="A89">
        <f t="shared" si="39"/>
        <v>39</v>
      </c>
      <c r="B89" s="113">
        <v>3</v>
      </c>
      <c r="C89" s="113">
        <f>-SQRT(3)</f>
        <v>-1.7320508075688772</v>
      </c>
      <c r="D89" s="113">
        <f t="shared" si="41"/>
        <v>3.4641016151377544</v>
      </c>
      <c r="E89" s="113">
        <f t="shared" si="32"/>
        <v>3</v>
      </c>
      <c r="F89" s="113">
        <f t="shared" si="32"/>
        <v>-1.7320508075688772</v>
      </c>
      <c r="G89" s="113">
        <f t="shared" si="40"/>
        <v>3.214550253664318</v>
      </c>
      <c r="J89" s="116">
        <f t="shared" si="33"/>
        <v>2.0986931609674486</v>
      </c>
      <c r="K89" s="119">
        <f t="shared" si="24"/>
        <v>0.51453105392986931</v>
      </c>
      <c r="L89" s="98">
        <f t="shared" si="25"/>
        <v>0.55561265601452581</v>
      </c>
      <c r="M89" s="101">
        <f t="shared" si="34"/>
        <v>0.45144246751432865</v>
      </c>
      <c r="O89" s="100">
        <f t="shared" si="26"/>
        <v>2.1023881739221046</v>
      </c>
      <c r="P89" s="119">
        <f>IF('Temperature in bundle'!$P$4="Current = 1A per pair",2,IF($A89="","",('Temperature in bundle'!$Q$6-('Temperature in bundle'!$Q$6^2-4*(O89+Q$7)*'Temperature in bundle'!$Q$7)^0.5)/2/(O89+Q$7)))</f>
        <v>0.51455539976121101</v>
      </c>
      <c r="Q89" s="98">
        <f t="shared" si="35"/>
        <v>0.55664355505356344</v>
      </c>
      <c r="R89" s="101">
        <f t="shared" si="36"/>
        <v>0.45239062985921868</v>
      </c>
      <c r="T89" s="100">
        <f t="shared" si="28"/>
        <v>2.1023959345392371</v>
      </c>
      <c r="U89" s="119">
        <f>IF('Temperature in bundle'!$P$4="Current = 1A per pair",2,IF($A89="","",('Temperature in bundle'!$Q$6-('Temperature in bundle'!$Q$6^2-4*(T89+V$7)*'Temperature in bundle'!$Q$7)^0.5)/2/(T89+V$7)))</f>
        <v>0.51455545055572016</v>
      </c>
      <c r="V89" s="98">
        <f t="shared" si="29"/>
        <v>0.55664571970981525</v>
      </c>
      <c r="W89" s="101">
        <f t="shared" si="37"/>
        <v>0.45239262089080584</v>
      </c>
      <c r="Y89" s="100">
        <f t="shared" si="30"/>
        <v>2.1023959508356378</v>
      </c>
      <c r="Z89" s="119">
        <f>IF('Temperature in bundle'!$P$4="Current = 1A per pair",2,IF($A89="","",('Temperature in bundle'!$Q$6-('Temperature in bundle'!$Q$6^2-4*(Y89+AA$7)*'Temperature in bundle'!$Q$7)^0.5)/2/(Y89+AA$7)))</f>
        <v>0.51455545066335473</v>
      </c>
      <c r="AA89" s="98">
        <f t="shared" si="31"/>
        <v>0.55664572425744741</v>
      </c>
      <c r="AB89" s="101">
        <f t="shared" si="38"/>
        <v>0.45239262507345229</v>
      </c>
    </row>
    <row r="90" spans="1:28">
      <c r="A90">
        <f t="shared" si="39"/>
        <v>40</v>
      </c>
      <c r="B90" s="113">
        <v>3.5</v>
      </c>
      <c r="C90" s="113">
        <f>-SQRT(3)/2</f>
        <v>-0.8660254037844386</v>
      </c>
      <c r="D90" s="113">
        <f t="shared" si="41"/>
        <v>3.6055512754639891</v>
      </c>
      <c r="E90" s="113">
        <f t="shared" si="32"/>
        <v>3.5</v>
      </c>
      <c r="F90" s="113">
        <f t="shared" si="32"/>
        <v>-0.8660254037844386</v>
      </c>
      <c r="G90" s="113">
        <f t="shared" si="40"/>
        <v>3.2145502536643185</v>
      </c>
      <c r="J90" s="116">
        <f t="shared" si="33"/>
        <v>2.0986931609674486</v>
      </c>
      <c r="K90" s="119">
        <f t="shared" si="24"/>
        <v>0.51453105392986931</v>
      </c>
      <c r="L90" s="98">
        <f t="shared" si="25"/>
        <v>0.55561265601452581</v>
      </c>
      <c r="M90" s="101">
        <f t="shared" si="34"/>
        <v>0.45144246751432865</v>
      </c>
      <c r="O90" s="100">
        <f t="shared" si="26"/>
        <v>2.1023881739221046</v>
      </c>
      <c r="P90" s="119">
        <f>IF('Temperature in bundle'!$P$4="Current = 1A per pair",2,IF($A90="","",('Temperature in bundle'!$Q$6-('Temperature in bundle'!$Q$6^2-4*(O90+Q$7)*'Temperature in bundle'!$Q$7)^0.5)/2/(O90+Q$7)))</f>
        <v>0.51455539976121101</v>
      </c>
      <c r="Q90" s="98">
        <f t="shared" si="35"/>
        <v>0.55664355505356344</v>
      </c>
      <c r="R90" s="101">
        <f t="shared" si="36"/>
        <v>0.45239062985921868</v>
      </c>
      <c r="T90" s="100">
        <f t="shared" si="28"/>
        <v>2.1023959345392371</v>
      </c>
      <c r="U90" s="119">
        <f>IF('Temperature in bundle'!$P$4="Current = 1A per pair",2,IF($A90="","",('Temperature in bundle'!$Q$6-('Temperature in bundle'!$Q$6^2-4*(T90+V$7)*'Temperature in bundle'!$Q$7)^0.5)/2/(T90+V$7)))</f>
        <v>0.51455545055572016</v>
      </c>
      <c r="V90" s="98">
        <f t="shared" si="29"/>
        <v>0.55664571970981525</v>
      </c>
      <c r="W90" s="101">
        <f t="shared" si="37"/>
        <v>0.45239262089080584</v>
      </c>
      <c r="Y90" s="100">
        <f t="shared" si="30"/>
        <v>2.1023959508356378</v>
      </c>
      <c r="Z90" s="119">
        <f>IF('Temperature in bundle'!$P$4="Current = 1A per pair",2,IF($A90="","",('Temperature in bundle'!$Q$6-('Temperature in bundle'!$Q$6^2-4*(Y90+AA$7)*'Temperature in bundle'!$Q$7)^0.5)/2/(Y90+AA$7)))</f>
        <v>0.51455545066335473</v>
      </c>
      <c r="AA90" s="98">
        <f t="shared" si="31"/>
        <v>0.55664572425744741</v>
      </c>
      <c r="AB90" s="101">
        <f t="shared" si="38"/>
        <v>0.45239262507345229</v>
      </c>
    </row>
    <row r="91" spans="1:28">
      <c r="A91">
        <f t="shared" si="39"/>
        <v>41</v>
      </c>
      <c r="B91" s="113">
        <v>4</v>
      </c>
      <c r="C91" s="113">
        <v>0</v>
      </c>
      <c r="D91" s="113">
        <f t="shared" si="41"/>
        <v>4</v>
      </c>
      <c r="E91" s="113">
        <f t="shared" si="32"/>
        <v>4</v>
      </c>
      <c r="F91" s="113">
        <f t="shared" si="32"/>
        <v>0</v>
      </c>
      <c r="G91" s="113">
        <f t="shared" si="40"/>
        <v>3.5118845842842465</v>
      </c>
      <c r="J91" s="116">
        <f t="shared" si="33"/>
        <v>2.0986931609674486</v>
      </c>
      <c r="K91" s="119">
        <f t="shared" si="24"/>
        <v>0.51453105392986931</v>
      </c>
      <c r="L91" s="98">
        <f t="shared" si="25"/>
        <v>0.55561265601452581</v>
      </c>
      <c r="M91" s="101">
        <f t="shared" si="34"/>
        <v>0.41942859542968214</v>
      </c>
      <c r="O91" s="100">
        <f t="shared" si="26"/>
        <v>2.102126143473944</v>
      </c>
      <c r="P91" s="119">
        <f>IF('Temperature in bundle'!$P$4="Current = 1A per pair",2,IF($A91="","",('Temperature in bundle'!$Q$6-('Temperature in bundle'!$Q$6^2-4*(O91+Q$7)*'Temperature in bundle'!$Q$7)^0.5)/2/(O91+Q$7)))</f>
        <v>0.51455392902095065</v>
      </c>
      <c r="Q91" s="98">
        <f t="shared" si="35"/>
        <v>0.55657099629159212</v>
      </c>
      <c r="R91" s="101">
        <f t="shared" si="36"/>
        <v>0.42030951919998277</v>
      </c>
      <c r="T91" s="100">
        <f t="shared" si="28"/>
        <v>2.102133353749843</v>
      </c>
      <c r="U91" s="119">
        <f>IF('Temperature in bundle'!$P$4="Current = 1A per pair",2,IF($A91="","",('Temperature in bundle'!$Q$6-('Temperature in bundle'!$Q$6^2-4*(T91+V$7)*'Temperature in bundle'!$Q$7)^0.5)/2/(T91+V$7)))</f>
        <v>0.51455397672589853</v>
      </c>
      <c r="V91" s="98">
        <f t="shared" si="29"/>
        <v>0.55657300852683422</v>
      </c>
      <c r="W91" s="101">
        <f t="shared" si="37"/>
        <v>0.42031136903831684</v>
      </c>
      <c r="Y91" s="100">
        <f t="shared" si="30"/>
        <v>2.1021333688905912</v>
      </c>
      <c r="Z91" s="119">
        <f>IF('Temperature in bundle'!$P$4="Current = 1A per pair",2,IF($A91="","",('Temperature in bundle'!$Q$6-('Temperature in bundle'!$Q$6^2-4*(Y91+AA$7)*'Temperature in bundle'!$Q$7)^0.5)/2/(Y91+AA$7)))</f>
        <v>0.51455397682704518</v>
      </c>
      <c r="AA91" s="98">
        <f t="shared" si="31"/>
        <v>0.55657301275439919</v>
      </c>
      <c r="AB91" s="101">
        <f t="shared" si="38"/>
        <v>0.4203113729243525</v>
      </c>
    </row>
    <row r="92" spans="1:28">
      <c r="A92">
        <f t="shared" si="39"/>
        <v>42</v>
      </c>
      <c r="B92" s="113">
        <v>3.5</v>
      </c>
      <c r="C92" s="113">
        <f t="shared" ref="C92" si="43">SQRT(3)/2</f>
        <v>0.8660254037844386</v>
      </c>
      <c r="D92" s="113">
        <f t="shared" si="41"/>
        <v>3.6055512754639891</v>
      </c>
      <c r="E92" s="113">
        <f t="shared" si="32"/>
        <v>3.5</v>
      </c>
      <c r="F92" s="113">
        <f t="shared" si="32"/>
        <v>0.8660254037844386</v>
      </c>
      <c r="G92" s="113">
        <f t="shared" si="40"/>
        <v>3.0550504633038935</v>
      </c>
      <c r="J92" s="116">
        <f t="shared" si="33"/>
        <v>2.0986931609674486</v>
      </c>
      <c r="K92" s="119">
        <f t="shared" si="24"/>
        <v>0.51453105392986931</v>
      </c>
      <c r="L92" s="98">
        <f t="shared" si="25"/>
        <v>0.55561265601452581</v>
      </c>
      <c r="M92" s="101">
        <f t="shared" si="34"/>
        <v>0.46744940355665188</v>
      </c>
      <c r="O92" s="100">
        <f t="shared" si="26"/>
        <v>2.102519189146185</v>
      </c>
      <c r="P92" s="119">
        <f>IF('Temperature in bundle'!$P$4="Current = 1A per pair",2,IF($A92="","",('Temperature in bundle'!$Q$6-('Temperature in bundle'!$Q$6^2-4*(O92+Q$7)*'Temperature in bundle'!$Q$7)^0.5)/2/(O92+Q$7)))</f>
        <v>0.51455613513774145</v>
      </c>
      <c r="Q92" s="98">
        <f t="shared" si="35"/>
        <v>0.55667983474925609</v>
      </c>
      <c r="R92" s="101">
        <f t="shared" si="36"/>
        <v>0.46843118518883659</v>
      </c>
      <c r="T92" s="100">
        <f t="shared" si="28"/>
        <v>2.1025272249339335</v>
      </c>
      <c r="U92" s="119">
        <f>IF('Temperature in bundle'!$P$4="Current = 1A per pair",2,IF($A92="","",('Temperature in bundle'!$Q$6-('Temperature in bundle'!$Q$6^2-4*(T92+V$7)*'Temperature in bundle'!$Q$7)^0.5)/2/(T92+V$7)))</f>
        <v>0.51455618747705834</v>
      </c>
      <c r="V92" s="98">
        <f t="shared" si="29"/>
        <v>0.55668207561733651</v>
      </c>
      <c r="W92" s="101">
        <f t="shared" si="37"/>
        <v>0.46843324681705023</v>
      </c>
      <c r="Y92" s="100">
        <f t="shared" si="30"/>
        <v>2.1025272418081613</v>
      </c>
      <c r="Z92" s="119">
        <f>IF('Temperature in bundle'!$P$4="Current = 1A per pair",2,IF($A92="","",('Temperature in bundle'!$Q$6-('Temperature in bundle'!$Q$6^2-4*(Y92+AA$7)*'Temperature in bundle'!$Q$7)^0.5)/2/(Y92+AA$7)))</f>
        <v>0.51455618758793642</v>
      </c>
      <c r="AA92" s="98">
        <f t="shared" si="31"/>
        <v>0.55668208032500421</v>
      </c>
      <c r="AB92" s="101">
        <f t="shared" si="38"/>
        <v>0.46843325114800211</v>
      </c>
    </row>
    <row r="93" spans="1:28">
      <c r="A93">
        <f t="shared" si="39"/>
        <v>43</v>
      </c>
      <c r="B93" s="113">
        <v>3</v>
      </c>
      <c r="C93" s="113">
        <f>SQRT(3)/2*2</f>
        <v>1.7320508075688772</v>
      </c>
      <c r="D93" s="113">
        <f t="shared" si="41"/>
        <v>3.4641016151377544</v>
      </c>
      <c r="E93" s="113">
        <f t="shared" si="32"/>
        <v>3</v>
      </c>
      <c r="F93" s="113">
        <f t="shared" si="32"/>
        <v>1.7320508075688772</v>
      </c>
      <c r="G93" s="113">
        <f t="shared" si="40"/>
        <v>2.8867513459481287</v>
      </c>
      <c r="J93" s="116">
        <f t="shared" si="33"/>
        <v>2.0986931609674486</v>
      </c>
      <c r="K93" s="119">
        <f t="shared" si="24"/>
        <v>0.51453105392986931</v>
      </c>
      <c r="L93" s="98">
        <f t="shared" si="25"/>
        <v>0.55561265601452581</v>
      </c>
      <c r="M93" s="101">
        <f t="shared" si="34"/>
        <v>0.48345633959897516</v>
      </c>
      <c r="O93" s="100">
        <f t="shared" si="26"/>
        <v>2.1026502043702653</v>
      </c>
      <c r="P93" s="119">
        <f>IF('Temperature in bundle'!$P$4="Current = 1A per pair",2,IF($A93="","",('Temperature in bundle'!$Q$6-('Temperature in bundle'!$Q$6^2-4*(O93+Q$7)*'Temperature in bundle'!$Q$7)^0.5)/2/(O93+Q$7)))</f>
        <v>0.51455687051853849</v>
      </c>
      <c r="Q93" s="98">
        <f t="shared" si="35"/>
        <v>0.55671611465475579</v>
      </c>
      <c r="R93" s="101">
        <f t="shared" si="36"/>
        <v>0.48447174051845454</v>
      </c>
      <c r="T93" s="100">
        <f t="shared" si="28"/>
        <v>2.1026585153286304</v>
      </c>
      <c r="U93" s="119">
        <f>IF('Temperature in bundle'!$P$4="Current = 1A per pair",2,IF($A93="","",('Temperature in bundle'!$Q$6-('Temperature in bundle'!$Q$6^2-4*(T93+V$7)*'Temperature in bundle'!$Q$7)^0.5)/2/(T93+V$7)))</f>
        <v>0.51455692440268086</v>
      </c>
      <c r="V93" s="98">
        <f t="shared" si="29"/>
        <v>0.55671843173554691</v>
      </c>
      <c r="W93" s="101">
        <f t="shared" si="37"/>
        <v>0.48447387274329473</v>
      </c>
      <c r="Y93" s="100">
        <f t="shared" si="30"/>
        <v>2.1026585327806844</v>
      </c>
      <c r="Z93" s="119">
        <f>IF('Temperature in bundle'!$P$4="Current = 1A per pair",2,IF($A93="","",('Temperature in bundle'!$Q$6-('Temperature in bundle'!$Q$6^2-4*(Y93+AA$7)*'Temperature in bundle'!$Q$7)^0.5)/2/(Y93+AA$7)))</f>
        <v>0.51455692451680213</v>
      </c>
      <c r="AA93" s="98">
        <f t="shared" si="31"/>
        <v>0.55671843660325093</v>
      </c>
      <c r="AB93" s="101">
        <f t="shared" si="38"/>
        <v>0.48447387722255197</v>
      </c>
    </row>
    <row r="94" spans="1:28">
      <c r="A94">
        <f t="shared" si="39"/>
        <v>44</v>
      </c>
      <c r="B94" s="113">
        <v>2.5</v>
      </c>
      <c r="C94" s="113">
        <f>SQRT(3)/2*3</f>
        <v>2.598076211353316</v>
      </c>
      <c r="D94" s="113">
        <f t="shared" si="41"/>
        <v>3.6055512754639891</v>
      </c>
      <c r="E94" s="113">
        <f t="shared" si="32"/>
        <v>2.5</v>
      </c>
      <c r="F94" s="113">
        <f t="shared" si="32"/>
        <v>2.598076211353316</v>
      </c>
      <c r="G94" s="113">
        <f t="shared" si="40"/>
        <v>3.0550504633038931</v>
      </c>
      <c r="J94" s="116">
        <f t="shared" si="33"/>
        <v>2.0986931609674486</v>
      </c>
      <c r="K94" s="119">
        <f t="shared" si="24"/>
        <v>0.51453105392986931</v>
      </c>
      <c r="L94" s="98">
        <f t="shared" si="25"/>
        <v>0.55561265601452581</v>
      </c>
      <c r="M94" s="101">
        <f t="shared" si="34"/>
        <v>0.46744940355665193</v>
      </c>
      <c r="O94" s="100">
        <f t="shared" si="26"/>
        <v>2.102519189146185</v>
      </c>
      <c r="P94" s="119">
        <f>IF('Temperature in bundle'!$P$4="Current = 1A per pair",2,IF($A94="","",('Temperature in bundle'!$Q$6-('Temperature in bundle'!$Q$6^2-4*(O94+Q$7)*'Temperature in bundle'!$Q$7)^0.5)/2/(O94+Q$7)))</f>
        <v>0.51455613513774145</v>
      </c>
      <c r="Q94" s="98">
        <f t="shared" si="35"/>
        <v>0.55667983474925609</v>
      </c>
      <c r="R94" s="101">
        <f t="shared" si="36"/>
        <v>0.46843118518883664</v>
      </c>
      <c r="T94" s="100">
        <f t="shared" si="28"/>
        <v>2.1025272249339335</v>
      </c>
      <c r="U94" s="119">
        <f>IF('Temperature in bundle'!$P$4="Current = 1A per pair",2,IF($A94="","",('Temperature in bundle'!$Q$6-('Temperature in bundle'!$Q$6^2-4*(T94+V$7)*'Temperature in bundle'!$Q$7)^0.5)/2/(T94+V$7)))</f>
        <v>0.51455618747705834</v>
      </c>
      <c r="V94" s="98">
        <f t="shared" si="29"/>
        <v>0.55668207561733651</v>
      </c>
      <c r="W94" s="101">
        <f t="shared" si="37"/>
        <v>0.46843324681705029</v>
      </c>
      <c r="Y94" s="100">
        <f t="shared" si="30"/>
        <v>2.1025272418081613</v>
      </c>
      <c r="Z94" s="119">
        <f>IF('Temperature in bundle'!$P$4="Current = 1A per pair",2,IF($A94="","",('Temperature in bundle'!$Q$6-('Temperature in bundle'!$Q$6^2-4*(Y94+AA$7)*'Temperature in bundle'!$Q$7)^0.5)/2/(Y94+AA$7)))</f>
        <v>0.51455618758793642</v>
      </c>
      <c r="AA94" s="98">
        <f t="shared" si="31"/>
        <v>0.55668208032500421</v>
      </c>
      <c r="AB94" s="101">
        <f t="shared" si="38"/>
        <v>0.46843325114800216</v>
      </c>
    </row>
    <row r="95" spans="1:28">
      <c r="A95">
        <f t="shared" si="39"/>
        <v>45</v>
      </c>
      <c r="B95" s="113">
        <v>2</v>
      </c>
      <c r="C95" s="113">
        <f>SQRT(3)/2*4</f>
        <v>3.4641016151377544</v>
      </c>
      <c r="D95" s="113">
        <f t="shared" si="41"/>
        <v>4</v>
      </c>
      <c r="E95" s="113">
        <f t="shared" si="32"/>
        <v>2</v>
      </c>
      <c r="F95" s="113">
        <f t="shared" si="32"/>
        <v>3.4641016151377544</v>
      </c>
      <c r="G95" s="113">
        <f t="shared" si="40"/>
        <v>3.5118845842842457</v>
      </c>
      <c r="J95" s="116">
        <f t="shared" si="33"/>
        <v>2.0986931609674486</v>
      </c>
      <c r="K95" s="119">
        <f t="shared" si="24"/>
        <v>0.51453105392986931</v>
      </c>
      <c r="L95" s="98">
        <f t="shared" si="25"/>
        <v>0.55561265601452581</v>
      </c>
      <c r="M95" s="101">
        <f t="shared" si="34"/>
        <v>0.41942859542968225</v>
      </c>
      <c r="O95" s="100">
        <f t="shared" si="26"/>
        <v>2.102126143473944</v>
      </c>
      <c r="P95" s="119">
        <f>IF('Temperature in bundle'!$P$4="Current = 1A per pair",2,IF($A95="","",('Temperature in bundle'!$Q$6-('Temperature in bundle'!$Q$6^2-4*(O95+Q$7)*'Temperature in bundle'!$Q$7)^0.5)/2/(O95+Q$7)))</f>
        <v>0.51455392902095065</v>
      </c>
      <c r="Q95" s="98">
        <f t="shared" si="35"/>
        <v>0.55657099629159212</v>
      </c>
      <c r="R95" s="101">
        <f t="shared" si="36"/>
        <v>0.42030951919998288</v>
      </c>
      <c r="T95" s="100">
        <f t="shared" si="28"/>
        <v>2.102133353749843</v>
      </c>
      <c r="U95" s="119">
        <f>IF('Temperature in bundle'!$P$4="Current = 1A per pair",2,IF($A95="","",('Temperature in bundle'!$Q$6-('Temperature in bundle'!$Q$6^2-4*(T95+V$7)*'Temperature in bundle'!$Q$7)^0.5)/2/(T95+V$7)))</f>
        <v>0.51455397672589853</v>
      </c>
      <c r="V95" s="98">
        <f t="shared" si="29"/>
        <v>0.55657300852683422</v>
      </c>
      <c r="W95" s="101">
        <f t="shared" si="37"/>
        <v>0.42031136903831701</v>
      </c>
      <c r="Y95" s="100">
        <f t="shared" si="30"/>
        <v>2.1021333688905912</v>
      </c>
      <c r="Z95" s="119">
        <f>IF('Temperature in bundle'!$P$4="Current = 1A per pair",2,IF($A95="","",('Temperature in bundle'!$Q$6-('Temperature in bundle'!$Q$6^2-4*(Y95+AA$7)*'Temperature in bundle'!$Q$7)^0.5)/2/(Y95+AA$7)))</f>
        <v>0.51455397682704518</v>
      </c>
      <c r="AA95" s="98">
        <f t="shared" si="31"/>
        <v>0.55657301275439919</v>
      </c>
      <c r="AB95" s="101">
        <f t="shared" si="38"/>
        <v>0.42031137292435261</v>
      </c>
    </row>
    <row r="96" spans="1:28">
      <c r="A96">
        <f t="shared" si="39"/>
        <v>46</v>
      </c>
      <c r="B96" s="113">
        <v>1</v>
      </c>
      <c r="C96" s="113">
        <f>SQRT(3)/2*4</f>
        <v>3.4641016151377544</v>
      </c>
      <c r="D96" s="113">
        <f t="shared" si="41"/>
        <v>3.6055512754639891</v>
      </c>
      <c r="E96" s="113">
        <f t="shared" si="32"/>
        <v>1</v>
      </c>
      <c r="F96" s="113">
        <f t="shared" si="32"/>
        <v>3.4641016151377544</v>
      </c>
      <c r="G96" s="113">
        <f t="shared" si="40"/>
        <v>3.214550253664318</v>
      </c>
      <c r="J96" s="116">
        <f t="shared" si="33"/>
        <v>2.0986931609674486</v>
      </c>
      <c r="K96" s="119">
        <f t="shared" si="24"/>
        <v>0.51453105392986931</v>
      </c>
      <c r="L96" s="98">
        <f t="shared" si="25"/>
        <v>0.55561265601452581</v>
      </c>
      <c r="M96" s="101">
        <f t="shared" si="34"/>
        <v>0.45144246751432865</v>
      </c>
      <c r="O96" s="100">
        <f t="shared" si="26"/>
        <v>2.1023881739221046</v>
      </c>
      <c r="P96" s="119">
        <f>IF('Temperature in bundle'!$P$4="Current = 1A per pair",2,IF($A96="","",('Temperature in bundle'!$Q$6-('Temperature in bundle'!$Q$6^2-4*(O96+Q$7)*'Temperature in bundle'!$Q$7)^0.5)/2/(O96+Q$7)))</f>
        <v>0.51455539976121101</v>
      </c>
      <c r="Q96" s="98">
        <f t="shared" si="35"/>
        <v>0.55664355505356344</v>
      </c>
      <c r="R96" s="101">
        <f t="shared" si="36"/>
        <v>0.45239062985921868</v>
      </c>
      <c r="T96" s="100">
        <f t="shared" si="28"/>
        <v>2.1023959345392371</v>
      </c>
      <c r="U96" s="119">
        <f>IF('Temperature in bundle'!$P$4="Current = 1A per pair",2,IF($A96="","",('Temperature in bundle'!$Q$6-('Temperature in bundle'!$Q$6^2-4*(T96+V$7)*'Temperature in bundle'!$Q$7)^0.5)/2/(T96+V$7)))</f>
        <v>0.51455545055572016</v>
      </c>
      <c r="V96" s="98">
        <f t="shared" si="29"/>
        <v>0.55664571970981525</v>
      </c>
      <c r="W96" s="101">
        <f t="shared" si="37"/>
        <v>0.45239262089080584</v>
      </c>
      <c r="Y96" s="100">
        <f t="shared" si="30"/>
        <v>2.1023959508356378</v>
      </c>
      <c r="Z96" s="119">
        <f>IF('Temperature in bundle'!$P$4="Current = 1A per pair",2,IF($A96="","",('Temperature in bundle'!$Q$6-('Temperature in bundle'!$Q$6^2-4*(Y96+AA$7)*'Temperature in bundle'!$Q$7)^0.5)/2/(Y96+AA$7)))</f>
        <v>0.51455545066335473</v>
      </c>
      <c r="AA96" s="98">
        <f t="shared" si="31"/>
        <v>0.55664572425744741</v>
      </c>
      <c r="AB96" s="101">
        <f t="shared" si="38"/>
        <v>0.45239262507345229</v>
      </c>
    </row>
    <row r="97" spans="1:28">
      <c r="A97">
        <f t="shared" si="39"/>
        <v>47</v>
      </c>
      <c r="B97" s="113">
        <v>0</v>
      </c>
      <c r="C97" s="113">
        <f>SQRT(3)/2*4</f>
        <v>3.4641016151377544</v>
      </c>
      <c r="D97" s="113">
        <f t="shared" si="41"/>
        <v>3.4641016151377544</v>
      </c>
      <c r="E97" s="113">
        <f t="shared" si="32"/>
        <v>0</v>
      </c>
      <c r="F97" s="113">
        <f t="shared" si="32"/>
        <v>3.4641016151377544</v>
      </c>
      <c r="G97" s="113">
        <f t="shared" si="40"/>
        <v>3.214550253664318</v>
      </c>
      <c r="J97" s="116">
        <f t="shared" si="33"/>
        <v>2.0986931609674486</v>
      </c>
      <c r="K97" s="119">
        <f t="shared" si="24"/>
        <v>0.51453105392986931</v>
      </c>
      <c r="L97" s="98">
        <f t="shared" si="25"/>
        <v>0.55561265601452581</v>
      </c>
      <c r="M97" s="101">
        <f t="shared" si="34"/>
        <v>0.45144246751432865</v>
      </c>
      <c r="O97" s="100">
        <f t="shared" si="26"/>
        <v>2.1023881739221046</v>
      </c>
      <c r="P97" s="119">
        <f>IF('Temperature in bundle'!$P$4="Current = 1A per pair",2,IF($A97="","",('Temperature in bundle'!$Q$6-('Temperature in bundle'!$Q$6^2-4*(O97+Q$7)*'Temperature in bundle'!$Q$7)^0.5)/2/(O97+Q$7)))</f>
        <v>0.51455539976121101</v>
      </c>
      <c r="Q97" s="98">
        <f t="shared" si="35"/>
        <v>0.55664355505356344</v>
      </c>
      <c r="R97" s="101">
        <f t="shared" si="36"/>
        <v>0.45239062985921868</v>
      </c>
      <c r="T97" s="100">
        <f t="shared" si="28"/>
        <v>2.1023959345392371</v>
      </c>
      <c r="U97" s="119">
        <f>IF('Temperature in bundle'!$P$4="Current = 1A per pair",2,IF($A97="","",('Temperature in bundle'!$Q$6-('Temperature in bundle'!$Q$6^2-4*(T97+V$7)*'Temperature in bundle'!$Q$7)^0.5)/2/(T97+V$7)))</f>
        <v>0.51455545055572016</v>
      </c>
      <c r="V97" s="98">
        <f t="shared" si="29"/>
        <v>0.55664571970981525</v>
      </c>
      <c r="W97" s="101">
        <f t="shared" si="37"/>
        <v>0.45239262089080584</v>
      </c>
      <c r="Y97" s="100">
        <f t="shared" si="30"/>
        <v>2.1023959508356378</v>
      </c>
      <c r="Z97" s="119">
        <f>IF('Temperature in bundle'!$P$4="Current = 1A per pair",2,IF($A97="","",('Temperature in bundle'!$Q$6-('Temperature in bundle'!$Q$6^2-4*(Y97+AA$7)*'Temperature in bundle'!$Q$7)^0.5)/2/(Y97+AA$7)))</f>
        <v>0.51455545066335473</v>
      </c>
      <c r="AA97" s="98">
        <f t="shared" si="31"/>
        <v>0.55664572425744741</v>
      </c>
      <c r="AB97" s="101">
        <f t="shared" si="38"/>
        <v>0.45239262507345229</v>
      </c>
    </row>
    <row r="98" spans="1:28">
      <c r="A98">
        <f t="shared" si="39"/>
        <v>48</v>
      </c>
      <c r="B98" s="113">
        <v>-1</v>
      </c>
      <c r="C98" s="113">
        <f t="shared" ref="C98:C99" si="44">SQRT(3)/2*4</f>
        <v>3.4641016151377544</v>
      </c>
      <c r="D98" s="113">
        <f t="shared" si="41"/>
        <v>3.6055512754639891</v>
      </c>
      <c r="E98" s="113">
        <f t="shared" si="32"/>
        <v>-1</v>
      </c>
      <c r="F98" s="113">
        <f t="shared" si="32"/>
        <v>3.4641016151377544</v>
      </c>
      <c r="G98" s="113">
        <f t="shared" si="40"/>
        <v>3.5118845842842457</v>
      </c>
      <c r="J98" s="116">
        <f t="shared" si="33"/>
        <v>2.0986931609674486</v>
      </c>
      <c r="K98" s="119">
        <f t="shared" si="24"/>
        <v>0.51453105392986931</v>
      </c>
      <c r="L98" s="98">
        <f t="shared" si="25"/>
        <v>0.55561265601452581</v>
      </c>
      <c r="M98" s="101">
        <f t="shared" si="34"/>
        <v>0.41942859542968225</v>
      </c>
      <c r="O98" s="100">
        <f t="shared" si="26"/>
        <v>2.102126143473944</v>
      </c>
      <c r="P98" s="119">
        <f>IF('Temperature in bundle'!$P$4="Current = 1A per pair",2,IF($A98="","",('Temperature in bundle'!$Q$6-('Temperature in bundle'!$Q$6^2-4*(O98+Q$7)*'Temperature in bundle'!$Q$7)^0.5)/2/(O98+Q$7)))</f>
        <v>0.51455392902095065</v>
      </c>
      <c r="Q98" s="98">
        <f t="shared" si="35"/>
        <v>0.55657099629159212</v>
      </c>
      <c r="R98" s="101">
        <f t="shared" si="36"/>
        <v>0.42030951919998288</v>
      </c>
      <c r="T98" s="100">
        <f t="shared" si="28"/>
        <v>2.102133353749843</v>
      </c>
      <c r="U98" s="119">
        <f>IF('Temperature in bundle'!$P$4="Current = 1A per pair",2,IF($A98="","",('Temperature in bundle'!$Q$6-('Temperature in bundle'!$Q$6^2-4*(T98+V$7)*'Temperature in bundle'!$Q$7)^0.5)/2/(T98+V$7)))</f>
        <v>0.51455397672589853</v>
      </c>
      <c r="V98" s="98">
        <f t="shared" si="29"/>
        <v>0.55657300852683422</v>
      </c>
      <c r="W98" s="101">
        <f t="shared" si="37"/>
        <v>0.42031136903831701</v>
      </c>
      <c r="Y98" s="100">
        <f t="shared" si="30"/>
        <v>2.1021333688905912</v>
      </c>
      <c r="Z98" s="119">
        <f>IF('Temperature in bundle'!$P$4="Current = 1A per pair",2,IF($A98="","",('Temperature in bundle'!$Q$6-('Temperature in bundle'!$Q$6^2-4*(Y98+AA$7)*'Temperature in bundle'!$Q$7)^0.5)/2/(Y98+AA$7)))</f>
        <v>0.51455397682704518</v>
      </c>
      <c r="AA98" s="98">
        <f t="shared" si="31"/>
        <v>0.55657301275439919</v>
      </c>
      <c r="AB98" s="101">
        <f t="shared" si="38"/>
        <v>0.42031137292435261</v>
      </c>
    </row>
    <row r="99" spans="1:28">
      <c r="A99" t="str">
        <f t="shared" si="39"/>
        <v/>
      </c>
      <c r="B99" s="113">
        <v>-2</v>
      </c>
      <c r="C99" s="113">
        <f t="shared" si="44"/>
        <v>3.4641016151377544</v>
      </c>
      <c r="D99" s="113">
        <f t="shared" si="41"/>
        <v>4</v>
      </c>
      <c r="E99" s="113" t="str">
        <f t="shared" si="32"/>
        <v/>
      </c>
      <c r="F99" s="113" t="str">
        <f t="shared" si="32"/>
        <v/>
      </c>
      <c r="G99" s="113" t="str">
        <f t="shared" si="40"/>
        <v/>
      </c>
      <c r="J99" s="116" t="str">
        <f t="shared" si="33"/>
        <v/>
      </c>
      <c r="K99" s="119" t="str">
        <f t="shared" si="24"/>
        <v/>
      </c>
      <c r="L99" s="98" t="str">
        <f t="shared" si="25"/>
        <v/>
      </c>
      <c r="M99" s="101" t="str">
        <f t="shared" si="34"/>
        <v/>
      </c>
      <c r="O99" s="100" t="str">
        <f t="shared" si="26"/>
        <v/>
      </c>
      <c r="P99" s="119" t="str">
        <f>IF('Temperature in bundle'!$P$4="Current = 1A per pair",2,IF($A99="","",('Temperature in bundle'!$Q$6-('Temperature in bundle'!$Q$6^2-4*(O99+Q$7)*'Temperature in bundle'!$Q$7)^0.5)/2/(O99+Q$7)))</f>
        <v/>
      </c>
      <c r="Q99" s="98" t="str">
        <f t="shared" si="35"/>
        <v/>
      </c>
      <c r="R99" s="101" t="str">
        <f t="shared" si="36"/>
        <v/>
      </c>
      <c r="T99" s="100" t="str">
        <f t="shared" si="28"/>
        <v/>
      </c>
      <c r="U99" s="119" t="str">
        <f>IF('Temperature in bundle'!$P$4="Current = 1A per pair",2,IF($A99="","",('Temperature in bundle'!$Q$6-('Temperature in bundle'!$Q$6^2-4*(T99+V$7)*'Temperature in bundle'!$Q$7)^0.5)/2/(T99+V$7)))</f>
        <v/>
      </c>
      <c r="V99" s="98" t="str">
        <f t="shared" si="29"/>
        <v/>
      </c>
      <c r="W99" s="101" t="str">
        <f t="shared" si="37"/>
        <v/>
      </c>
      <c r="Y99" s="100" t="str">
        <f t="shared" si="30"/>
        <v/>
      </c>
      <c r="Z99" s="119" t="str">
        <f>IF('Temperature in bundle'!$P$4="Current = 1A per pair",2,IF($A99="","",('Temperature in bundle'!$Q$6-('Temperature in bundle'!$Q$6^2-4*(Y99+AA$7)*'Temperature in bundle'!$Q$7)^0.5)/2/(Y99+AA$7)))</f>
        <v/>
      </c>
      <c r="AA99" s="98" t="str">
        <f t="shared" si="31"/>
        <v/>
      </c>
      <c r="AB99" s="101" t="str">
        <f t="shared" si="38"/>
        <v/>
      </c>
    </row>
    <row r="100" spans="1:28">
      <c r="A100" t="str">
        <f t="shared" si="39"/>
        <v/>
      </c>
      <c r="B100" s="113">
        <v>-2.5</v>
      </c>
      <c r="C100" s="113">
        <f>SQRT(3)/2*3</f>
        <v>2.598076211353316</v>
      </c>
      <c r="D100" s="113">
        <f t="shared" si="41"/>
        <v>3.6055512754639891</v>
      </c>
      <c r="E100" s="113" t="str">
        <f t="shared" si="32"/>
        <v/>
      </c>
      <c r="F100" s="113" t="str">
        <f t="shared" si="32"/>
        <v/>
      </c>
      <c r="G100" s="113" t="str">
        <f t="shared" si="40"/>
        <v/>
      </c>
      <c r="J100" s="116" t="str">
        <f t="shared" si="33"/>
        <v/>
      </c>
      <c r="K100" s="119" t="str">
        <f t="shared" si="24"/>
        <v/>
      </c>
      <c r="L100" s="98" t="str">
        <f t="shared" si="25"/>
        <v/>
      </c>
      <c r="M100" s="101" t="str">
        <f t="shared" si="34"/>
        <v/>
      </c>
      <c r="O100" s="100" t="str">
        <f t="shared" si="26"/>
        <v/>
      </c>
      <c r="P100" s="119" t="str">
        <f>IF('Temperature in bundle'!$P$4="Current = 1A per pair",2,IF($A100="","",('Temperature in bundle'!$Q$6-('Temperature in bundle'!$Q$6^2-4*(O100+Q$7)*'Temperature in bundle'!$Q$7)^0.5)/2/(O100+Q$7)))</f>
        <v/>
      </c>
      <c r="Q100" s="98" t="str">
        <f t="shared" si="35"/>
        <v/>
      </c>
      <c r="R100" s="101" t="str">
        <f t="shared" si="36"/>
        <v/>
      </c>
      <c r="T100" s="100" t="str">
        <f t="shared" si="28"/>
        <v/>
      </c>
      <c r="U100" s="119" t="str">
        <f>IF('Temperature in bundle'!$P$4="Current = 1A per pair",2,IF($A100="","",('Temperature in bundle'!$Q$6-('Temperature in bundle'!$Q$6^2-4*(T100+V$7)*'Temperature in bundle'!$Q$7)^0.5)/2/(T100+V$7)))</f>
        <v/>
      </c>
      <c r="V100" s="98" t="str">
        <f t="shared" si="29"/>
        <v/>
      </c>
      <c r="W100" s="101" t="str">
        <f t="shared" si="37"/>
        <v/>
      </c>
      <c r="Y100" s="100" t="str">
        <f t="shared" si="30"/>
        <v/>
      </c>
      <c r="Z100" s="119" t="str">
        <f>IF('Temperature in bundle'!$P$4="Current = 1A per pair",2,IF($A100="","",('Temperature in bundle'!$Q$6-('Temperature in bundle'!$Q$6^2-4*(Y100+AA$7)*'Temperature in bundle'!$Q$7)^0.5)/2/(Y100+AA$7)))</f>
        <v/>
      </c>
      <c r="AA100" s="98" t="str">
        <f t="shared" si="31"/>
        <v/>
      </c>
      <c r="AB100" s="101" t="str">
        <f t="shared" si="38"/>
        <v/>
      </c>
    </row>
    <row r="101" spans="1:28">
      <c r="A101" t="str">
        <f t="shared" si="39"/>
        <v/>
      </c>
      <c r="B101" s="113">
        <v>-3</v>
      </c>
      <c r="C101" s="113">
        <f>SQRT(3)/2*2</f>
        <v>1.7320508075688772</v>
      </c>
      <c r="D101" s="113">
        <f t="shared" si="41"/>
        <v>3.4641016151377544</v>
      </c>
      <c r="E101" s="113" t="str">
        <f t="shared" si="32"/>
        <v/>
      </c>
      <c r="F101" s="113" t="str">
        <f t="shared" si="32"/>
        <v/>
      </c>
      <c r="G101" s="113" t="str">
        <f t="shared" si="40"/>
        <v/>
      </c>
      <c r="J101" s="116" t="str">
        <f t="shared" si="33"/>
        <v/>
      </c>
      <c r="K101" s="119" t="str">
        <f t="shared" si="24"/>
        <v/>
      </c>
      <c r="L101" s="98" t="str">
        <f t="shared" si="25"/>
        <v/>
      </c>
      <c r="M101" s="101" t="str">
        <f t="shared" si="34"/>
        <v/>
      </c>
      <c r="O101" s="100" t="str">
        <f t="shared" si="26"/>
        <v/>
      </c>
      <c r="P101" s="119" t="str">
        <f>IF('Temperature in bundle'!$P$4="Current = 1A per pair",2,IF($A101="","",('Temperature in bundle'!$Q$6-('Temperature in bundle'!$Q$6^2-4*(O101+Q$7)*'Temperature in bundle'!$Q$7)^0.5)/2/(O101+Q$7)))</f>
        <v/>
      </c>
      <c r="Q101" s="98" t="str">
        <f t="shared" si="35"/>
        <v/>
      </c>
      <c r="R101" s="101" t="str">
        <f t="shared" si="36"/>
        <v/>
      </c>
      <c r="T101" s="100" t="str">
        <f t="shared" si="28"/>
        <v/>
      </c>
      <c r="U101" s="119" t="str">
        <f>IF('Temperature in bundle'!$P$4="Current = 1A per pair",2,IF($A101="","",('Temperature in bundle'!$Q$6-('Temperature in bundle'!$Q$6^2-4*(T101+V$7)*'Temperature in bundle'!$Q$7)^0.5)/2/(T101+V$7)))</f>
        <v/>
      </c>
      <c r="V101" s="98" t="str">
        <f t="shared" si="29"/>
        <v/>
      </c>
      <c r="W101" s="101" t="str">
        <f t="shared" si="37"/>
        <v/>
      </c>
      <c r="Y101" s="100" t="str">
        <f t="shared" si="30"/>
        <v/>
      </c>
      <c r="Z101" s="119" t="str">
        <f>IF('Temperature in bundle'!$P$4="Current = 1A per pair",2,IF($A101="","",('Temperature in bundle'!$Q$6-('Temperature in bundle'!$Q$6^2-4*(Y101+AA$7)*'Temperature in bundle'!$Q$7)^0.5)/2/(Y101+AA$7)))</f>
        <v/>
      </c>
      <c r="AA101" s="98" t="str">
        <f t="shared" si="31"/>
        <v/>
      </c>
      <c r="AB101" s="101" t="str">
        <f t="shared" si="38"/>
        <v/>
      </c>
    </row>
    <row r="102" spans="1:28">
      <c r="A102" t="str">
        <f t="shared" si="39"/>
        <v/>
      </c>
      <c r="B102" s="113">
        <v>-3.5</v>
      </c>
      <c r="C102" s="113">
        <f t="shared" ref="C102" si="45">SQRT(3)/2</f>
        <v>0.8660254037844386</v>
      </c>
      <c r="D102" s="113">
        <f t="shared" si="41"/>
        <v>3.6055512754639891</v>
      </c>
      <c r="E102" s="113" t="str">
        <f t="shared" si="32"/>
        <v/>
      </c>
      <c r="F102" s="113" t="str">
        <f t="shared" si="32"/>
        <v/>
      </c>
      <c r="G102" s="113" t="str">
        <f t="shared" si="40"/>
        <v/>
      </c>
      <c r="J102" s="116" t="str">
        <f t="shared" si="33"/>
        <v/>
      </c>
      <c r="K102" s="119" t="str">
        <f t="shared" si="24"/>
        <v/>
      </c>
      <c r="L102" s="98" t="str">
        <f t="shared" si="25"/>
        <v/>
      </c>
      <c r="M102" s="101" t="str">
        <f t="shared" si="34"/>
        <v/>
      </c>
      <c r="O102" s="100" t="str">
        <f t="shared" si="26"/>
        <v/>
      </c>
      <c r="P102" s="119" t="str">
        <f>IF('Temperature in bundle'!$P$4="Current = 1A per pair",2,IF($A102="","",('Temperature in bundle'!$Q$6-('Temperature in bundle'!$Q$6^2-4*(O102+Q$7)*'Temperature in bundle'!$Q$7)^0.5)/2/(O102+Q$7)))</f>
        <v/>
      </c>
      <c r="Q102" s="98" t="str">
        <f t="shared" si="35"/>
        <v/>
      </c>
      <c r="R102" s="101" t="str">
        <f t="shared" si="36"/>
        <v/>
      </c>
      <c r="T102" s="100" t="str">
        <f t="shared" si="28"/>
        <v/>
      </c>
      <c r="U102" s="119" t="str">
        <f>IF('Temperature in bundle'!$P$4="Current = 1A per pair",2,IF($A102="","",('Temperature in bundle'!$Q$6-('Temperature in bundle'!$Q$6^2-4*(T102+V$7)*'Temperature in bundle'!$Q$7)^0.5)/2/(T102+V$7)))</f>
        <v/>
      </c>
      <c r="V102" s="98" t="str">
        <f t="shared" si="29"/>
        <v/>
      </c>
      <c r="W102" s="101" t="str">
        <f t="shared" si="37"/>
        <v/>
      </c>
      <c r="Y102" s="100" t="str">
        <f t="shared" si="30"/>
        <v/>
      </c>
      <c r="Z102" s="119" t="str">
        <f>IF('Temperature in bundle'!$P$4="Current = 1A per pair",2,IF($A102="","",('Temperature in bundle'!$Q$6-('Temperature in bundle'!$Q$6^2-4*(Y102+AA$7)*'Temperature in bundle'!$Q$7)^0.5)/2/(Y102+AA$7)))</f>
        <v/>
      </c>
      <c r="AA102" s="98" t="str">
        <f t="shared" si="31"/>
        <v/>
      </c>
      <c r="AB102" s="101" t="str">
        <f t="shared" si="38"/>
        <v/>
      </c>
    </row>
    <row r="103" spans="1:28">
      <c r="A103" t="str">
        <f t="shared" si="39"/>
        <v/>
      </c>
      <c r="B103" s="113">
        <v>-4</v>
      </c>
      <c r="C103" s="113">
        <v>0</v>
      </c>
      <c r="D103" s="113">
        <f t="shared" si="41"/>
        <v>4</v>
      </c>
      <c r="E103" s="113" t="str">
        <f t="shared" si="32"/>
        <v/>
      </c>
      <c r="F103" s="113" t="str">
        <f t="shared" si="32"/>
        <v/>
      </c>
      <c r="G103" s="113" t="str">
        <f t="shared" si="40"/>
        <v/>
      </c>
      <c r="J103" s="116" t="str">
        <f t="shared" si="33"/>
        <v/>
      </c>
      <c r="K103" s="119" t="str">
        <f t="shared" si="24"/>
        <v/>
      </c>
      <c r="L103" s="98" t="str">
        <f t="shared" si="25"/>
        <v/>
      </c>
      <c r="M103" s="101" t="str">
        <f t="shared" si="34"/>
        <v/>
      </c>
      <c r="O103" s="100" t="str">
        <f t="shared" si="26"/>
        <v/>
      </c>
      <c r="P103" s="119" t="str">
        <f>IF('Temperature in bundle'!$P$4="Current = 1A per pair",2,IF($A103="","",('Temperature in bundle'!$Q$6-('Temperature in bundle'!$Q$6^2-4*(O103+Q$7)*'Temperature in bundle'!$Q$7)^0.5)/2/(O103+Q$7)))</f>
        <v/>
      </c>
      <c r="Q103" s="98" t="str">
        <f t="shared" si="35"/>
        <v/>
      </c>
      <c r="R103" s="101" t="str">
        <f t="shared" si="36"/>
        <v/>
      </c>
      <c r="T103" s="100" t="str">
        <f t="shared" si="28"/>
        <v/>
      </c>
      <c r="U103" s="119" t="str">
        <f>IF('Temperature in bundle'!$P$4="Current = 1A per pair",2,IF($A103="","",('Temperature in bundle'!$Q$6-('Temperature in bundle'!$Q$6^2-4*(T103+V$7)*'Temperature in bundle'!$Q$7)^0.5)/2/(T103+V$7)))</f>
        <v/>
      </c>
      <c r="V103" s="98" t="str">
        <f t="shared" si="29"/>
        <v/>
      </c>
      <c r="W103" s="101" t="str">
        <f t="shared" si="37"/>
        <v/>
      </c>
      <c r="Y103" s="100" t="str">
        <f t="shared" si="30"/>
        <v/>
      </c>
      <c r="Z103" s="119" t="str">
        <f>IF('Temperature in bundle'!$P$4="Current = 1A per pair",2,IF($A103="","",('Temperature in bundle'!$Q$6-('Temperature in bundle'!$Q$6^2-4*(Y103+AA$7)*'Temperature in bundle'!$Q$7)^0.5)/2/(Y103+AA$7)))</f>
        <v/>
      </c>
      <c r="AA103" s="98" t="str">
        <f t="shared" si="31"/>
        <v/>
      </c>
      <c r="AB103" s="101" t="str">
        <f t="shared" si="38"/>
        <v/>
      </c>
    </row>
    <row r="104" spans="1:28">
      <c r="A104" t="str">
        <f t="shared" si="39"/>
        <v/>
      </c>
      <c r="B104" s="113">
        <v>-3.5</v>
      </c>
      <c r="C104" s="113">
        <f>-SQRT(3)/2</f>
        <v>-0.8660254037844386</v>
      </c>
      <c r="D104" s="113">
        <f t="shared" si="41"/>
        <v>3.6055512754639891</v>
      </c>
      <c r="E104" s="113" t="str">
        <f t="shared" si="32"/>
        <v/>
      </c>
      <c r="F104" s="113" t="str">
        <f t="shared" si="32"/>
        <v/>
      </c>
      <c r="G104" s="113" t="str">
        <f t="shared" si="40"/>
        <v/>
      </c>
      <c r="J104" s="116" t="str">
        <f t="shared" si="33"/>
        <v/>
      </c>
      <c r="K104" s="119" t="str">
        <f t="shared" si="24"/>
        <v/>
      </c>
      <c r="L104" s="98" t="str">
        <f t="shared" si="25"/>
        <v/>
      </c>
      <c r="M104" s="101" t="str">
        <f t="shared" si="34"/>
        <v/>
      </c>
      <c r="O104" s="100" t="str">
        <f t="shared" si="26"/>
        <v/>
      </c>
      <c r="P104" s="119" t="str">
        <f>IF('Temperature in bundle'!$P$4="Current = 1A per pair",2,IF($A104="","",('Temperature in bundle'!$Q$6-('Temperature in bundle'!$Q$6^2-4*(O104+Q$7)*'Temperature in bundle'!$Q$7)^0.5)/2/(O104+Q$7)))</f>
        <v/>
      </c>
      <c r="Q104" s="98" t="str">
        <f t="shared" si="35"/>
        <v/>
      </c>
      <c r="R104" s="101" t="str">
        <f t="shared" si="36"/>
        <v/>
      </c>
      <c r="T104" s="100" t="str">
        <f t="shared" si="28"/>
        <v/>
      </c>
      <c r="U104" s="119" t="str">
        <f>IF('Temperature in bundle'!$P$4="Current = 1A per pair",2,IF($A104="","",('Temperature in bundle'!$Q$6-('Temperature in bundle'!$Q$6^2-4*(T104+V$7)*'Temperature in bundle'!$Q$7)^0.5)/2/(T104+V$7)))</f>
        <v/>
      </c>
      <c r="V104" s="98" t="str">
        <f t="shared" si="29"/>
        <v/>
      </c>
      <c r="W104" s="101" t="str">
        <f t="shared" si="37"/>
        <v/>
      </c>
      <c r="Y104" s="100" t="str">
        <f t="shared" si="30"/>
        <v/>
      </c>
      <c r="Z104" s="119" t="str">
        <f>IF('Temperature in bundle'!$P$4="Current = 1A per pair",2,IF($A104="","",('Temperature in bundle'!$Q$6-('Temperature in bundle'!$Q$6^2-4*(Y104+AA$7)*'Temperature in bundle'!$Q$7)^0.5)/2/(Y104+AA$7)))</f>
        <v/>
      </c>
      <c r="AA104" s="98" t="str">
        <f t="shared" si="31"/>
        <v/>
      </c>
      <c r="AB104" s="101" t="str">
        <f t="shared" si="38"/>
        <v/>
      </c>
    </row>
    <row r="105" spans="1:28">
      <c r="A105" t="str">
        <f t="shared" si="39"/>
        <v/>
      </c>
      <c r="B105" s="113">
        <v>-3</v>
      </c>
      <c r="C105" s="113">
        <f>-SQRT(3)</f>
        <v>-1.7320508075688772</v>
      </c>
      <c r="D105" s="113">
        <f t="shared" si="41"/>
        <v>3.4641016151377544</v>
      </c>
      <c r="E105" s="113" t="str">
        <f t="shared" si="32"/>
        <v/>
      </c>
      <c r="F105" s="113" t="str">
        <f t="shared" si="32"/>
        <v/>
      </c>
      <c r="G105" s="113" t="str">
        <f t="shared" si="40"/>
        <v/>
      </c>
      <c r="J105" s="116" t="str">
        <f t="shared" si="33"/>
        <v/>
      </c>
      <c r="K105" s="119" t="str">
        <f t="shared" si="24"/>
        <v/>
      </c>
      <c r="L105" s="98" t="str">
        <f t="shared" si="25"/>
        <v/>
      </c>
      <c r="M105" s="101" t="str">
        <f t="shared" si="34"/>
        <v/>
      </c>
      <c r="O105" s="100" t="str">
        <f t="shared" si="26"/>
        <v/>
      </c>
      <c r="P105" s="119" t="str">
        <f>IF('Temperature in bundle'!$P$4="Current = 1A per pair",2,IF($A105="","",('Temperature in bundle'!$Q$6-('Temperature in bundle'!$Q$6^2-4*(O105+Q$7)*'Temperature in bundle'!$Q$7)^0.5)/2/(O105+Q$7)))</f>
        <v/>
      </c>
      <c r="Q105" s="98" t="str">
        <f t="shared" si="35"/>
        <v/>
      </c>
      <c r="R105" s="101" t="str">
        <f t="shared" si="36"/>
        <v/>
      </c>
      <c r="T105" s="100" t="str">
        <f t="shared" si="28"/>
        <v/>
      </c>
      <c r="U105" s="119" t="str">
        <f>IF('Temperature in bundle'!$P$4="Current = 1A per pair",2,IF($A105="","",('Temperature in bundle'!$Q$6-('Temperature in bundle'!$Q$6^2-4*(T105+V$7)*'Temperature in bundle'!$Q$7)^0.5)/2/(T105+V$7)))</f>
        <v/>
      </c>
      <c r="V105" s="98" t="str">
        <f t="shared" si="29"/>
        <v/>
      </c>
      <c r="W105" s="101" t="str">
        <f t="shared" si="37"/>
        <v/>
      </c>
      <c r="Y105" s="100" t="str">
        <f t="shared" si="30"/>
        <v/>
      </c>
      <c r="Z105" s="119" t="str">
        <f>IF('Temperature in bundle'!$P$4="Current = 1A per pair",2,IF($A105="","",('Temperature in bundle'!$Q$6-('Temperature in bundle'!$Q$6^2-4*(Y105+AA$7)*'Temperature in bundle'!$Q$7)^0.5)/2/(Y105+AA$7)))</f>
        <v/>
      </c>
      <c r="AA105" s="98" t="str">
        <f t="shared" si="31"/>
        <v/>
      </c>
      <c r="AB105" s="101" t="str">
        <f t="shared" si="38"/>
        <v/>
      </c>
    </row>
    <row r="106" spans="1:28">
      <c r="A106" t="str">
        <f t="shared" si="39"/>
        <v/>
      </c>
      <c r="B106" s="113">
        <v>-2.5</v>
      </c>
      <c r="C106" s="113">
        <f>-SQRT(3)/2*3</f>
        <v>-2.598076211353316</v>
      </c>
      <c r="D106" s="113">
        <f t="shared" si="41"/>
        <v>3.6055512754639891</v>
      </c>
      <c r="E106" s="113" t="str">
        <f t="shared" si="32"/>
        <v/>
      </c>
      <c r="F106" s="113" t="str">
        <f t="shared" si="32"/>
        <v/>
      </c>
      <c r="G106" s="113" t="str">
        <f t="shared" si="40"/>
        <v/>
      </c>
      <c r="J106" s="116" t="str">
        <f t="shared" si="33"/>
        <v/>
      </c>
      <c r="K106" s="119" t="str">
        <f t="shared" si="24"/>
        <v/>
      </c>
      <c r="L106" s="98" t="str">
        <f t="shared" si="25"/>
        <v/>
      </c>
      <c r="M106" s="101" t="str">
        <f t="shared" si="34"/>
        <v/>
      </c>
      <c r="O106" s="100" t="str">
        <f t="shared" si="26"/>
        <v/>
      </c>
      <c r="P106" s="119" t="str">
        <f>IF('Temperature in bundle'!$P$4="Current = 1A per pair",2,IF($A106="","",('Temperature in bundle'!$Q$6-('Temperature in bundle'!$Q$6^2-4*(O106+Q$7)*'Temperature in bundle'!$Q$7)^0.5)/2/(O106+Q$7)))</f>
        <v/>
      </c>
      <c r="Q106" s="98" t="str">
        <f t="shared" si="35"/>
        <v/>
      </c>
      <c r="R106" s="101" t="str">
        <f t="shared" si="36"/>
        <v/>
      </c>
      <c r="T106" s="100" t="str">
        <f t="shared" si="28"/>
        <v/>
      </c>
      <c r="U106" s="119" t="str">
        <f>IF('Temperature in bundle'!$P$4="Current = 1A per pair",2,IF($A106="","",('Temperature in bundle'!$Q$6-('Temperature in bundle'!$Q$6^2-4*(T106+V$7)*'Temperature in bundle'!$Q$7)^0.5)/2/(T106+V$7)))</f>
        <v/>
      </c>
      <c r="V106" s="98" t="str">
        <f t="shared" si="29"/>
        <v/>
      </c>
      <c r="W106" s="101" t="str">
        <f t="shared" si="37"/>
        <v/>
      </c>
      <c r="Y106" s="100" t="str">
        <f t="shared" si="30"/>
        <v/>
      </c>
      <c r="Z106" s="119" t="str">
        <f>IF('Temperature in bundle'!$P$4="Current = 1A per pair",2,IF($A106="","",('Temperature in bundle'!$Q$6-('Temperature in bundle'!$Q$6^2-4*(Y106+AA$7)*'Temperature in bundle'!$Q$7)^0.5)/2/(Y106+AA$7)))</f>
        <v/>
      </c>
      <c r="AA106" s="98" t="str">
        <f t="shared" si="31"/>
        <v/>
      </c>
      <c r="AB106" s="101" t="str">
        <f t="shared" si="38"/>
        <v/>
      </c>
    </row>
    <row r="107" spans="1:28">
      <c r="A107" t="str">
        <f t="shared" si="39"/>
        <v/>
      </c>
      <c r="B107" s="113">
        <v>-2</v>
      </c>
      <c r="C107" s="113">
        <f>-SQRT(3)/2*4</f>
        <v>-3.4641016151377544</v>
      </c>
      <c r="D107" s="113">
        <f t="shared" si="41"/>
        <v>4</v>
      </c>
      <c r="E107" s="113" t="str">
        <f t="shared" si="32"/>
        <v/>
      </c>
      <c r="F107" s="113" t="str">
        <f t="shared" si="32"/>
        <v/>
      </c>
      <c r="G107" s="113" t="str">
        <f t="shared" si="40"/>
        <v/>
      </c>
      <c r="J107" s="116" t="str">
        <f t="shared" si="33"/>
        <v/>
      </c>
      <c r="K107" s="119" t="str">
        <f t="shared" si="24"/>
        <v/>
      </c>
      <c r="L107" s="98" t="str">
        <f t="shared" si="25"/>
        <v/>
      </c>
      <c r="M107" s="101" t="str">
        <f t="shared" si="34"/>
        <v/>
      </c>
      <c r="O107" s="100" t="str">
        <f t="shared" si="26"/>
        <v/>
      </c>
      <c r="P107" s="119" t="str">
        <f>IF('Temperature in bundle'!$P$4="Current = 1A per pair",2,IF($A107="","",('Temperature in bundle'!$Q$6-('Temperature in bundle'!$Q$6^2-4*(O107+Q$7)*'Temperature in bundle'!$Q$7)^0.5)/2/(O107+Q$7)))</f>
        <v/>
      </c>
      <c r="Q107" s="98" t="str">
        <f t="shared" si="35"/>
        <v/>
      </c>
      <c r="R107" s="101" t="str">
        <f t="shared" si="36"/>
        <v/>
      </c>
      <c r="T107" s="100" t="str">
        <f t="shared" si="28"/>
        <v/>
      </c>
      <c r="U107" s="119" t="str">
        <f>IF('Temperature in bundle'!$P$4="Current = 1A per pair",2,IF($A107="","",('Temperature in bundle'!$Q$6-('Temperature in bundle'!$Q$6^2-4*(T107+V$7)*'Temperature in bundle'!$Q$7)^0.5)/2/(T107+V$7)))</f>
        <v/>
      </c>
      <c r="V107" s="98" t="str">
        <f t="shared" si="29"/>
        <v/>
      </c>
      <c r="W107" s="101" t="str">
        <f t="shared" si="37"/>
        <v/>
      </c>
      <c r="Y107" s="100" t="str">
        <f t="shared" si="30"/>
        <v/>
      </c>
      <c r="Z107" s="119" t="str">
        <f>IF('Temperature in bundle'!$P$4="Current = 1A per pair",2,IF($A107="","",('Temperature in bundle'!$Q$6-('Temperature in bundle'!$Q$6^2-4*(Y107+AA$7)*'Temperature in bundle'!$Q$7)^0.5)/2/(Y107+AA$7)))</f>
        <v/>
      </c>
      <c r="AA107" s="98" t="str">
        <f t="shared" si="31"/>
        <v/>
      </c>
      <c r="AB107" s="101" t="str">
        <f t="shared" si="38"/>
        <v/>
      </c>
    </row>
    <row r="108" spans="1:28">
      <c r="A108" t="str">
        <f t="shared" si="39"/>
        <v/>
      </c>
      <c r="B108" s="113">
        <v>-1</v>
      </c>
      <c r="C108" s="113">
        <f>-SQRT(3)/2*4</f>
        <v>-3.4641016151377544</v>
      </c>
      <c r="D108" s="113">
        <f t="shared" si="41"/>
        <v>3.6055512754639891</v>
      </c>
      <c r="E108" s="113" t="str">
        <f t="shared" si="32"/>
        <v/>
      </c>
      <c r="F108" s="113" t="str">
        <f t="shared" si="32"/>
        <v/>
      </c>
      <c r="G108" s="113" t="str">
        <f t="shared" si="40"/>
        <v/>
      </c>
      <c r="J108" s="116" t="str">
        <f t="shared" si="33"/>
        <v/>
      </c>
      <c r="K108" s="119" t="str">
        <f t="shared" si="24"/>
        <v/>
      </c>
      <c r="L108" s="98" t="str">
        <f t="shared" si="25"/>
        <v/>
      </c>
      <c r="M108" s="101" t="str">
        <f t="shared" si="34"/>
        <v/>
      </c>
      <c r="O108" s="100" t="str">
        <f t="shared" si="26"/>
        <v/>
      </c>
      <c r="P108" s="119" t="str">
        <f>IF('Temperature in bundle'!$P$4="Current = 1A per pair",2,IF($A108="","",('Temperature in bundle'!$Q$6-('Temperature in bundle'!$Q$6^2-4*(O108+Q$7)*'Temperature in bundle'!$Q$7)^0.5)/2/(O108+Q$7)))</f>
        <v/>
      </c>
      <c r="Q108" s="98" t="str">
        <f t="shared" si="35"/>
        <v/>
      </c>
      <c r="R108" s="101" t="str">
        <f t="shared" si="36"/>
        <v/>
      </c>
      <c r="T108" s="100" t="str">
        <f t="shared" si="28"/>
        <v/>
      </c>
      <c r="U108" s="119" t="str">
        <f>IF('Temperature in bundle'!$P$4="Current = 1A per pair",2,IF($A108="","",('Temperature in bundle'!$Q$6-('Temperature in bundle'!$Q$6^2-4*(T108+V$7)*'Temperature in bundle'!$Q$7)^0.5)/2/(T108+V$7)))</f>
        <v/>
      </c>
      <c r="V108" s="98" t="str">
        <f t="shared" si="29"/>
        <v/>
      </c>
      <c r="W108" s="101" t="str">
        <f t="shared" si="37"/>
        <v/>
      </c>
      <c r="Y108" s="100" t="str">
        <f t="shared" si="30"/>
        <v/>
      </c>
      <c r="Z108" s="119" t="str">
        <f>IF('Temperature in bundle'!$P$4="Current = 1A per pair",2,IF($A108="","",('Temperature in bundle'!$Q$6-('Temperature in bundle'!$Q$6^2-4*(Y108+AA$7)*'Temperature in bundle'!$Q$7)^0.5)/2/(Y108+AA$7)))</f>
        <v/>
      </c>
      <c r="AA108" s="98" t="str">
        <f t="shared" si="31"/>
        <v/>
      </c>
      <c r="AB108" s="101" t="str">
        <f t="shared" si="38"/>
        <v/>
      </c>
    </row>
    <row r="109" spans="1:28">
      <c r="A109" t="str">
        <f t="shared" si="39"/>
        <v/>
      </c>
      <c r="B109" s="113">
        <v>0</v>
      </c>
      <c r="C109" s="113">
        <f>-SQRT(3)/2*4</f>
        <v>-3.4641016151377544</v>
      </c>
      <c r="D109" s="113">
        <f t="shared" si="41"/>
        <v>3.4641016151377544</v>
      </c>
      <c r="E109" s="113" t="str">
        <f t="shared" si="32"/>
        <v/>
      </c>
      <c r="F109" s="113" t="str">
        <f t="shared" si="32"/>
        <v/>
      </c>
      <c r="G109" s="113" t="str">
        <f t="shared" si="40"/>
        <v/>
      </c>
      <c r="J109" s="116" t="str">
        <f t="shared" si="33"/>
        <v/>
      </c>
      <c r="K109" s="119" t="str">
        <f t="shared" si="24"/>
        <v/>
      </c>
      <c r="L109" s="98" t="str">
        <f t="shared" si="25"/>
        <v/>
      </c>
      <c r="M109" s="101" t="str">
        <f t="shared" si="34"/>
        <v/>
      </c>
      <c r="O109" s="100" t="str">
        <f t="shared" si="26"/>
        <v/>
      </c>
      <c r="P109" s="119" t="str">
        <f>IF('Temperature in bundle'!$P$4="Current = 1A per pair",2,IF($A109="","",('Temperature in bundle'!$Q$6-('Temperature in bundle'!$Q$6^2-4*(O109+Q$7)*'Temperature in bundle'!$Q$7)^0.5)/2/(O109+Q$7)))</f>
        <v/>
      </c>
      <c r="Q109" s="98" t="str">
        <f t="shared" si="35"/>
        <v/>
      </c>
      <c r="R109" s="101" t="str">
        <f t="shared" si="36"/>
        <v/>
      </c>
      <c r="T109" s="100" t="str">
        <f t="shared" si="28"/>
        <v/>
      </c>
      <c r="U109" s="119" t="str">
        <f>IF('Temperature in bundle'!$P$4="Current = 1A per pair",2,IF($A109="","",('Temperature in bundle'!$Q$6-('Temperature in bundle'!$Q$6^2-4*(T109+V$7)*'Temperature in bundle'!$Q$7)^0.5)/2/(T109+V$7)))</f>
        <v/>
      </c>
      <c r="V109" s="98" t="str">
        <f t="shared" si="29"/>
        <v/>
      </c>
      <c r="W109" s="101" t="str">
        <f t="shared" si="37"/>
        <v/>
      </c>
      <c r="Y109" s="100" t="str">
        <f t="shared" si="30"/>
        <v/>
      </c>
      <c r="Z109" s="119" t="str">
        <f>IF('Temperature in bundle'!$P$4="Current = 1A per pair",2,IF($A109="","",('Temperature in bundle'!$Q$6-('Temperature in bundle'!$Q$6^2-4*(Y109+AA$7)*'Temperature in bundle'!$Q$7)^0.5)/2/(Y109+AA$7)))</f>
        <v/>
      </c>
      <c r="AA109" s="98" t="str">
        <f t="shared" si="31"/>
        <v/>
      </c>
      <c r="AB109" s="101" t="str">
        <f t="shared" si="38"/>
        <v/>
      </c>
    </row>
    <row r="110" spans="1:28">
      <c r="A110" t="str">
        <f t="shared" si="39"/>
        <v/>
      </c>
      <c r="B110" s="113">
        <v>1</v>
      </c>
      <c r="C110" s="113">
        <f>-SQRT(3)/2*4</f>
        <v>-3.4641016151377544</v>
      </c>
      <c r="D110" s="113">
        <f t="shared" si="41"/>
        <v>3.6055512754639891</v>
      </c>
      <c r="E110" s="113" t="str">
        <f t="shared" si="32"/>
        <v/>
      </c>
      <c r="F110" s="113" t="str">
        <f t="shared" si="32"/>
        <v/>
      </c>
      <c r="G110" s="113" t="str">
        <f t="shared" si="40"/>
        <v/>
      </c>
      <c r="J110" s="116" t="str">
        <f t="shared" si="33"/>
        <v/>
      </c>
      <c r="K110" s="119" t="str">
        <f t="shared" si="24"/>
        <v/>
      </c>
      <c r="L110" s="98" t="str">
        <f t="shared" si="25"/>
        <v/>
      </c>
      <c r="M110" s="101" t="str">
        <f t="shared" si="34"/>
        <v/>
      </c>
      <c r="O110" s="100" t="str">
        <f t="shared" si="26"/>
        <v/>
      </c>
      <c r="P110" s="119" t="str">
        <f>IF('Temperature in bundle'!$P$4="Current = 1A per pair",2,IF($A110="","",('Temperature in bundle'!$Q$6-('Temperature in bundle'!$Q$6^2-4*(O110+Q$7)*'Temperature in bundle'!$Q$7)^0.5)/2/(O110+Q$7)))</f>
        <v/>
      </c>
      <c r="Q110" s="98" t="str">
        <f t="shared" si="35"/>
        <v/>
      </c>
      <c r="R110" s="101" t="str">
        <f t="shared" si="36"/>
        <v/>
      </c>
      <c r="T110" s="100" t="str">
        <f t="shared" si="28"/>
        <v/>
      </c>
      <c r="U110" s="119" t="str">
        <f>IF('Temperature in bundle'!$P$4="Current = 1A per pair",2,IF($A110="","",('Temperature in bundle'!$Q$6-('Temperature in bundle'!$Q$6^2-4*(T110+V$7)*'Temperature in bundle'!$Q$7)^0.5)/2/(T110+V$7)))</f>
        <v/>
      </c>
      <c r="V110" s="98" t="str">
        <f t="shared" si="29"/>
        <v/>
      </c>
      <c r="W110" s="101" t="str">
        <f t="shared" si="37"/>
        <v/>
      </c>
      <c r="Y110" s="100" t="str">
        <f t="shared" si="30"/>
        <v/>
      </c>
      <c r="Z110" s="119" t="str">
        <f>IF('Temperature in bundle'!$P$4="Current = 1A per pair",2,IF($A110="","",('Temperature in bundle'!$Q$6-('Temperature in bundle'!$Q$6^2-4*(Y110+AA$7)*'Temperature in bundle'!$Q$7)^0.5)/2/(Y110+AA$7)))</f>
        <v/>
      </c>
      <c r="AA110" s="98" t="str">
        <f t="shared" si="31"/>
        <v/>
      </c>
      <c r="AB110" s="101" t="str">
        <f t="shared" si="38"/>
        <v/>
      </c>
    </row>
    <row r="111" spans="1:28">
      <c r="A111" t="str">
        <f t="shared" si="39"/>
        <v/>
      </c>
      <c r="B111" s="113">
        <v>2</v>
      </c>
      <c r="C111" s="113">
        <f>-SQRT(3)/2*4</f>
        <v>-3.4641016151377544</v>
      </c>
      <c r="D111" s="113">
        <f t="shared" si="41"/>
        <v>4</v>
      </c>
      <c r="E111" s="113" t="str">
        <f t="shared" si="32"/>
        <v/>
      </c>
      <c r="F111" s="113" t="str">
        <f t="shared" si="32"/>
        <v/>
      </c>
      <c r="G111" s="113" t="str">
        <f t="shared" si="40"/>
        <v/>
      </c>
      <c r="J111" s="116" t="str">
        <f t="shared" si="33"/>
        <v/>
      </c>
      <c r="K111" s="119" t="str">
        <f t="shared" si="24"/>
        <v/>
      </c>
      <c r="L111" s="98" t="str">
        <f t="shared" si="25"/>
        <v/>
      </c>
      <c r="M111" s="101" t="str">
        <f t="shared" si="34"/>
        <v/>
      </c>
      <c r="O111" s="100" t="str">
        <f t="shared" si="26"/>
        <v/>
      </c>
      <c r="P111" s="119" t="str">
        <f>IF('Temperature in bundle'!$P$4="Current = 1A per pair",2,IF($A111="","",('Temperature in bundle'!$Q$6-('Temperature in bundle'!$Q$6^2-4*(O111+Q$7)*'Temperature in bundle'!$Q$7)^0.5)/2/(O111+Q$7)))</f>
        <v/>
      </c>
      <c r="Q111" s="98" t="str">
        <f t="shared" si="35"/>
        <v/>
      </c>
      <c r="R111" s="101" t="str">
        <f t="shared" si="36"/>
        <v/>
      </c>
      <c r="T111" s="100" t="str">
        <f t="shared" si="28"/>
        <v/>
      </c>
      <c r="U111" s="119" t="str">
        <f>IF('Temperature in bundle'!$P$4="Current = 1A per pair",2,IF($A111="","",('Temperature in bundle'!$Q$6-('Temperature in bundle'!$Q$6^2-4*(T111+V$7)*'Temperature in bundle'!$Q$7)^0.5)/2/(T111+V$7)))</f>
        <v/>
      </c>
      <c r="V111" s="98" t="str">
        <f t="shared" si="29"/>
        <v/>
      </c>
      <c r="W111" s="101" t="str">
        <f t="shared" si="37"/>
        <v/>
      </c>
      <c r="Y111" s="100" t="str">
        <f t="shared" si="30"/>
        <v/>
      </c>
      <c r="Z111" s="119" t="str">
        <f>IF('Temperature in bundle'!$P$4="Current = 1A per pair",2,IF($A111="","",('Temperature in bundle'!$Q$6-('Temperature in bundle'!$Q$6^2-4*(Y111+AA$7)*'Temperature in bundle'!$Q$7)^0.5)/2/(Y111+AA$7)))</f>
        <v/>
      </c>
      <c r="AA111" s="98" t="str">
        <f t="shared" si="31"/>
        <v/>
      </c>
      <c r="AB111" s="101" t="str">
        <f t="shared" si="38"/>
        <v/>
      </c>
    </row>
    <row r="112" spans="1:28">
      <c r="A112" t="str">
        <f t="shared" si="39"/>
        <v/>
      </c>
      <c r="B112" s="113">
        <v>3</v>
      </c>
      <c r="C112" s="113">
        <f>(SQRT(3)/2*4)*-1</f>
        <v>-3.4641016151377544</v>
      </c>
      <c r="D112" s="113">
        <f t="shared" si="41"/>
        <v>4.5825756949558398</v>
      </c>
      <c r="E112" s="113" t="str">
        <f t="shared" si="32"/>
        <v/>
      </c>
      <c r="F112" s="113" t="str">
        <f t="shared" si="32"/>
        <v/>
      </c>
      <c r="G112" s="113" t="str">
        <f t="shared" si="40"/>
        <v/>
      </c>
      <c r="J112" s="116" t="str">
        <f t="shared" si="33"/>
        <v/>
      </c>
      <c r="K112" s="119" t="str">
        <f t="shared" si="24"/>
        <v/>
      </c>
      <c r="L112" s="98" t="str">
        <f t="shared" si="25"/>
        <v/>
      </c>
      <c r="M112" s="101" t="str">
        <f t="shared" si="34"/>
        <v/>
      </c>
      <c r="O112" s="100" t="str">
        <f t="shared" si="26"/>
        <v/>
      </c>
      <c r="P112" s="119" t="str">
        <f>IF('Temperature in bundle'!$P$4="Current = 1A per pair",2,IF($A112="","",('Temperature in bundle'!$Q$6-('Temperature in bundle'!$Q$6^2-4*(O112+Q$7)*'Temperature in bundle'!$Q$7)^0.5)/2/(O112+Q$7)))</f>
        <v/>
      </c>
      <c r="Q112" s="98" t="str">
        <f t="shared" si="35"/>
        <v/>
      </c>
      <c r="R112" s="101" t="str">
        <f t="shared" si="36"/>
        <v/>
      </c>
      <c r="T112" s="100" t="str">
        <f t="shared" si="28"/>
        <v/>
      </c>
      <c r="U112" s="119" t="str">
        <f>IF('Temperature in bundle'!$P$4="Current = 1A per pair",2,IF($A112="","",('Temperature in bundle'!$Q$6-('Temperature in bundle'!$Q$6^2-4*(T112+V$7)*'Temperature in bundle'!$Q$7)^0.5)/2/(T112+V$7)))</f>
        <v/>
      </c>
      <c r="V112" s="98" t="str">
        <f t="shared" si="29"/>
        <v/>
      </c>
      <c r="W112" s="101" t="str">
        <f t="shared" si="37"/>
        <v/>
      </c>
      <c r="Y112" s="100" t="str">
        <f t="shared" si="30"/>
        <v/>
      </c>
      <c r="Z112" s="119" t="str">
        <f>IF('Temperature in bundle'!$P$4="Current = 1A per pair",2,IF($A112="","",('Temperature in bundle'!$Q$6-('Temperature in bundle'!$Q$6^2-4*(Y112+AA$7)*'Temperature in bundle'!$Q$7)^0.5)/2/(Y112+AA$7)))</f>
        <v/>
      </c>
      <c r="AA112" s="98" t="str">
        <f t="shared" si="31"/>
        <v/>
      </c>
      <c r="AB112" s="101" t="str">
        <f t="shared" si="38"/>
        <v/>
      </c>
    </row>
    <row r="113" spans="1:28">
      <c r="A113" t="str">
        <f t="shared" si="39"/>
        <v/>
      </c>
      <c r="B113" s="113">
        <v>3.5</v>
      </c>
      <c r="C113" s="113">
        <f>(SQRT(3)/2*3)*-1</f>
        <v>-2.598076211353316</v>
      </c>
      <c r="D113" s="113">
        <f t="shared" si="41"/>
        <v>4.358898943540674</v>
      </c>
      <c r="E113" s="113" t="str">
        <f t="shared" si="32"/>
        <v/>
      </c>
      <c r="F113" s="113" t="str">
        <f t="shared" si="32"/>
        <v/>
      </c>
      <c r="G113" s="113" t="str">
        <f t="shared" si="40"/>
        <v/>
      </c>
      <c r="J113" s="116" t="str">
        <f t="shared" si="33"/>
        <v/>
      </c>
      <c r="K113" s="119" t="str">
        <f t="shared" si="24"/>
        <v/>
      </c>
      <c r="L113" s="98" t="str">
        <f t="shared" si="25"/>
        <v/>
      </c>
      <c r="M113" s="101" t="str">
        <f t="shared" si="34"/>
        <v/>
      </c>
      <c r="O113" s="100" t="str">
        <f t="shared" si="26"/>
        <v/>
      </c>
      <c r="P113" s="119" t="str">
        <f>IF('Temperature in bundle'!$P$4="Current = 1A per pair",2,IF($A113="","",('Temperature in bundle'!$Q$6-('Temperature in bundle'!$Q$6^2-4*(O113+Q$7)*'Temperature in bundle'!$Q$7)^0.5)/2/(O113+Q$7)))</f>
        <v/>
      </c>
      <c r="Q113" s="98" t="str">
        <f t="shared" si="35"/>
        <v/>
      </c>
      <c r="R113" s="101" t="str">
        <f t="shared" si="36"/>
        <v/>
      </c>
      <c r="T113" s="100" t="str">
        <f t="shared" si="28"/>
        <v/>
      </c>
      <c r="U113" s="119" t="str">
        <f>IF('Temperature in bundle'!$P$4="Current = 1A per pair",2,IF($A113="","",('Temperature in bundle'!$Q$6-('Temperature in bundle'!$Q$6^2-4*(T113+V$7)*'Temperature in bundle'!$Q$7)^0.5)/2/(T113+V$7)))</f>
        <v/>
      </c>
      <c r="V113" s="98" t="str">
        <f t="shared" si="29"/>
        <v/>
      </c>
      <c r="W113" s="101" t="str">
        <f t="shared" si="37"/>
        <v/>
      </c>
      <c r="Y113" s="100" t="str">
        <f t="shared" si="30"/>
        <v/>
      </c>
      <c r="Z113" s="119" t="str">
        <f>IF('Temperature in bundle'!$P$4="Current = 1A per pair",2,IF($A113="","",('Temperature in bundle'!$Q$6-('Temperature in bundle'!$Q$6^2-4*(Y113+AA$7)*'Temperature in bundle'!$Q$7)^0.5)/2/(Y113+AA$7)))</f>
        <v/>
      </c>
      <c r="AA113" s="98" t="str">
        <f t="shared" si="31"/>
        <v/>
      </c>
      <c r="AB113" s="101" t="str">
        <f t="shared" si="38"/>
        <v/>
      </c>
    </row>
    <row r="114" spans="1:28">
      <c r="A114" t="str">
        <f t="shared" si="39"/>
        <v/>
      </c>
      <c r="B114" s="113">
        <v>4</v>
      </c>
      <c r="C114" s="113">
        <f>(SQRT(3)/2*2)*-1</f>
        <v>-1.7320508075688772</v>
      </c>
      <c r="D114" s="113">
        <f t="shared" si="41"/>
        <v>4.358898943540674</v>
      </c>
      <c r="E114" s="113" t="str">
        <f t="shared" si="32"/>
        <v/>
      </c>
      <c r="F114" s="113" t="str">
        <f t="shared" si="32"/>
        <v/>
      </c>
      <c r="G114" s="113" t="str">
        <f t="shared" si="40"/>
        <v/>
      </c>
      <c r="J114" s="116" t="str">
        <f t="shared" si="33"/>
        <v/>
      </c>
      <c r="K114" s="119" t="str">
        <f t="shared" si="24"/>
        <v/>
      </c>
      <c r="L114" s="98" t="str">
        <f t="shared" si="25"/>
        <v/>
      </c>
      <c r="M114" s="101" t="str">
        <f t="shared" si="34"/>
        <v/>
      </c>
      <c r="O114" s="100" t="str">
        <f t="shared" si="26"/>
        <v/>
      </c>
      <c r="P114" s="119" t="str">
        <f>IF('Temperature in bundle'!$P$4="Current = 1A per pair",2,IF($A114="","",('Temperature in bundle'!$Q$6-('Temperature in bundle'!$Q$6^2-4*(O114+Q$7)*'Temperature in bundle'!$Q$7)^0.5)/2/(O114+Q$7)))</f>
        <v/>
      </c>
      <c r="Q114" s="98" t="str">
        <f t="shared" si="35"/>
        <v/>
      </c>
      <c r="R114" s="101" t="str">
        <f t="shared" si="36"/>
        <v/>
      </c>
      <c r="T114" s="100" t="str">
        <f t="shared" si="28"/>
        <v/>
      </c>
      <c r="U114" s="119" t="str">
        <f>IF('Temperature in bundle'!$P$4="Current = 1A per pair",2,IF($A114="","",('Temperature in bundle'!$Q$6-('Temperature in bundle'!$Q$6^2-4*(T114+V$7)*'Temperature in bundle'!$Q$7)^0.5)/2/(T114+V$7)))</f>
        <v/>
      </c>
      <c r="V114" s="98" t="str">
        <f t="shared" si="29"/>
        <v/>
      </c>
      <c r="W114" s="101" t="str">
        <f t="shared" si="37"/>
        <v/>
      </c>
      <c r="Y114" s="100" t="str">
        <f t="shared" si="30"/>
        <v/>
      </c>
      <c r="Z114" s="119" t="str">
        <f>IF('Temperature in bundle'!$P$4="Current = 1A per pair",2,IF($A114="","",('Temperature in bundle'!$Q$6-('Temperature in bundle'!$Q$6^2-4*(Y114+AA$7)*'Temperature in bundle'!$Q$7)^0.5)/2/(Y114+AA$7)))</f>
        <v/>
      </c>
      <c r="AA114" s="98" t="str">
        <f t="shared" si="31"/>
        <v/>
      </c>
      <c r="AB114" s="101" t="str">
        <f t="shared" si="38"/>
        <v/>
      </c>
    </row>
    <row r="115" spans="1:28">
      <c r="A115" t="str">
        <f t="shared" si="39"/>
        <v/>
      </c>
      <c r="B115" s="113">
        <v>4.5</v>
      </c>
      <c r="C115" s="113">
        <f>(SQRT(3)/2*1)*-1</f>
        <v>-0.8660254037844386</v>
      </c>
      <c r="D115" s="113">
        <f t="shared" si="41"/>
        <v>4.5825756949558398</v>
      </c>
      <c r="E115" s="113" t="str">
        <f t="shared" si="32"/>
        <v/>
      </c>
      <c r="F115" s="113" t="str">
        <f t="shared" si="32"/>
        <v/>
      </c>
      <c r="G115" s="113" t="str">
        <f t="shared" si="40"/>
        <v/>
      </c>
      <c r="J115" s="116" t="str">
        <f t="shared" si="33"/>
        <v/>
      </c>
      <c r="K115" s="119" t="str">
        <f t="shared" ref="K115:K178" si="46">IF($A115="","",$C$12)</f>
        <v/>
      </c>
      <c r="L115" s="98" t="str">
        <f t="shared" ref="L115:L178" si="47">IF($A115="","",J115*K115^2)</f>
        <v/>
      </c>
      <c r="M115" s="101" t="str">
        <f t="shared" si="34"/>
        <v/>
      </c>
      <c r="O115" s="100" t="str">
        <f t="shared" ref="O115:O178" si="48">IF($A115="","",$J115*(1+0.0039*M115))</f>
        <v/>
      </c>
      <c r="P115" s="119" t="str">
        <f>IF('Temperature in bundle'!$P$4="Current = 1A per pair",2,IF($A115="","",('Temperature in bundle'!$Q$6-('Temperature in bundle'!$Q$6^2-4*(O115+Q$7)*'Temperature in bundle'!$Q$7)^0.5)/2/(O115+Q$7)))</f>
        <v/>
      </c>
      <c r="Q115" s="98" t="str">
        <f t="shared" si="35"/>
        <v/>
      </c>
      <c r="R115" s="101" t="str">
        <f t="shared" si="36"/>
        <v/>
      </c>
      <c r="T115" s="100" t="str">
        <f t="shared" ref="T115:T178" si="49">IF($A115="","",$J115*(1+0.0039*R115))</f>
        <v/>
      </c>
      <c r="U115" s="119" t="str">
        <f>IF('Temperature in bundle'!$P$4="Current = 1A per pair",2,IF($A115="","",('Temperature in bundle'!$Q$6-('Temperature in bundle'!$Q$6^2-4*(T115+V$7)*'Temperature in bundle'!$Q$7)^0.5)/2/(T115+V$7)))</f>
        <v/>
      </c>
      <c r="V115" s="98" t="str">
        <f t="shared" ref="V115:V178" si="50">IF($A115="","",T115*U115^2)</f>
        <v/>
      </c>
      <c r="W115" s="101" t="str">
        <f t="shared" si="37"/>
        <v/>
      </c>
      <c r="Y115" s="100" t="str">
        <f t="shared" ref="Y115:Y178" si="51">IF($A115="","",$J115*(1+0.0039*W115))</f>
        <v/>
      </c>
      <c r="Z115" s="119" t="str">
        <f>IF('Temperature in bundle'!$P$4="Current = 1A per pair",2,IF($A115="","",('Temperature in bundle'!$Q$6-('Temperature in bundle'!$Q$6^2-4*(Y115+AA$7)*'Temperature in bundle'!$Q$7)^0.5)/2/(Y115+AA$7)))</f>
        <v/>
      </c>
      <c r="AA115" s="98" t="str">
        <f t="shared" ref="AA115:AA178" si="52">IF($A115="","",Y115*Z115^2)</f>
        <v/>
      </c>
      <c r="AB115" s="101" t="str">
        <f t="shared" si="38"/>
        <v/>
      </c>
    </row>
    <row r="116" spans="1:28">
      <c r="A116" t="str">
        <f t="shared" si="39"/>
        <v/>
      </c>
      <c r="B116" s="113">
        <v>5</v>
      </c>
      <c r="C116" s="113">
        <v>0</v>
      </c>
      <c r="D116" s="113">
        <f t="shared" si="41"/>
        <v>5</v>
      </c>
      <c r="E116" s="113" t="str">
        <f t="shared" ref="E116:F179" si="53">IF($A116="","",B116)</f>
        <v/>
      </c>
      <c r="F116" s="113" t="str">
        <f t="shared" si="53"/>
        <v/>
      </c>
      <c r="G116" s="113" t="str">
        <f t="shared" si="40"/>
        <v/>
      </c>
      <c r="J116" s="116" t="str">
        <f t="shared" ref="J116:J179" si="54">IF($A116="","",$E$10)</f>
        <v/>
      </c>
      <c r="K116" s="119" t="str">
        <f t="shared" si="46"/>
        <v/>
      </c>
      <c r="L116" s="98" t="str">
        <f t="shared" si="47"/>
        <v/>
      </c>
      <c r="M116" s="101" t="str">
        <f t="shared" ref="M116:M179" si="55">IF($A116="","",L$3+L$4*(1-3.63*$G116^2/$E$15))</f>
        <v/>
      </c>
      <c r="O116" s="100" t="str">
        <f t="shared" si="48"/>
        <v/>
      </c>
      <c r="P116" s="119" t="str">
        <f>IF('Temperature in bundle'!$P$4="Current = 1A per pair",2,IF($A116="","",('Temperature in bundle'!$Q$6-('Temperature in bundle'!$Q$6^2-4*(O116+Q$7)*'Temperature in bundle'!$Q$7)^0.5)/2/(O116+Q$7)))</f>
        <v/>
      </c>
      <c r="Q116" s="98" t="str">
        <f t="shared" ref="Q116:Q179" si="56">IF($A116="","",O116*P116^2)</f>
        <v/>
      </c>
      <c r="R116" s="101" t="str">
        <f t="shared" ref="R116:R179" si="57">IF($A116="","",Q$3+Q$4*(1-3.63*$G116^2/$E$15))</f>
        <v/>
      </c>
      <c r="T116" s="100" t="str">
        <f t="shared" si="49"/>
        <v/>
      </c>
      <c r="U116" s="119" t="str">
        <f>IF('Temperature in bundle'!$P$4="Current = 1A per pair",2,IF($A116="","",('Temperature in bundle'!$Q$6-('Temperature in bundle'!$Q$6^2-4*(T116+V$7)*'Temperature in bundle'!$Q$7)^0.5)/2/(T116+V$7)))</f>
        <v/>
      </c>
      <c r="V116" s="98" t="str">
        <f t="shared" si="50"/>
        <v/>
      </c>
      <c r="W116" s="101" t="str">
        <f t="shared" ref="W116:W179" si="58">IF($A116="","",V$3+V$4*(1-3.63*$G116^2/$E$15))</f>
        <v/>
      </c>
      <c r="Y116" s="100" t="str">
        <f t="shared" si="51"/>
        <v/>
      </c>
      <c r="Z116" s="119" t="str">
        <f>IF('Temperature in bundle'!$P$4="Current = 1A per pair",2,IF($A116="","",('Temperature in bundle'!$Q$6-('Temperature in bundle'!$Q$6^2-4*(Y116+AA$7)*'Temperature in bundle'!$Q$7)^0.5)/2/(Y116+AA$7)))</f>
        <v/>
      </c>
      <c r="AA116" s="98" t="str">
        <f t="shared" si="52"/>
        <v/>
      </c>
      <c r="AB116" s="101" t="str">
        <f t="shared" ref="AB116:AB179" si="59">IF($A116="","",AA$3+AA$4*(1-3.63*$G116^2/$E$15))</f>
        <v/>
      </c>
    </row>
    <row r="117" spans="1:28">
      <c r="A117" t="str">
        <f t="shared" ref="A117:A180" si="60">IF(A116&lt;E$15,A116+1,"")</f>
        <v/>
      </c>
      <c r="B117" s="113">
        <v>4.5</v>
      </c>
      <c r="C117" s="113">
        <f>SQRT(3)/2</f>
        <v>0.8660254037844386</v>
      </c>
      <c r="D117" s="113">
        <f t="shared" si="41"/>
        <v>4.5825756949558398</v>
      </c>
      <c r="E117" s="113" t="str">
        <f t="shared" si="53"/>
        <v/>
      </c>
      <c r="F117" s="113" t="str">
        <f t="shared" si="53"/>
        <v/>
      </c>
      <c r="G117" s="113" t="str">
        <f t="shared" ref="G117:G180" si="61">IF(A117="","",((E$50-E117)^2+(F$50-F117)^2)^0.5)</f>
        <v/>
      </c>
      <c r="J117" s="116" t="str">
        <f t="shared" si="54"/>
        <v/>
      </c>
      <c r="K117" s="119" t="str">
        <f t="shared" si="46"/>
        <v/>
      </c>
      <c r="L117" s="98" t="str">
        <f t="shared" si="47"/>
        <v/>
      </c>
      <c r="M117" s="101" t="str">
        <f t="shared" si="55"/>
        <v/>
      </c>
      <c r="O117" s="100" t="str">
        <f t="shared" si="48"/>
        <v/>
      </c>
      <c r="P117" s="119" t="str">
        <f>IF('Temperature in bundle'!$P$4="Current = 1A per pair",2,IF($A117="","",('Temperature in bundle'!$Q$6-('Temperature in bundle'!$Q$6^2-4*(O117+Q$7)*'Temperature in bundle'!$Q$7)^0.5)/2/(O117+Q$7)))</f>
        <v/>
      </c>
      <c r="Q117" s="98" t="str">
        <f t="shared" si="56"/>
        <v/>
      </c>
      <c r="R117" s="101" t="str">
        <f t="shared" si="57"/>
        <v/>
      </c>
      <c r="T117" s="100" t="str">
        <f t="shared" si="49"/>
        <v/>
      </c>
      <c r="U117" s="119" t="str">
        <f>IF('Temperature in bundle'!$P$4="Current = 1A per pair",2,IF($A117="","",('Temperature in bundle'!$Q$6-('Temperature in bundle'!$Q$6^2-4*(T117+V$7)*'Temperature in bundle'!$Q$7)^0.5)/2/(T117+V$7)))</f>
        <v/>
      </c>
      <c r="V117" s="98" t="str">
        <f t="shared" si="50"/>
        <v/>
      </c>
      <c r="W117" s="101" t="str">
        <f t="shared" si="58"/>
        <v/>
      </c>
      <c r="Y117" s="100" t="str">
        <f t="shared" si="51"/>
        <v/>
      </c>
      <c r="Z117" s="119" t="str">
        <f>IF('Temperature in bundle'!$P$4="Current = 1A per pair",2,IF($A117="","",('Temperature in bundle'!$Q$6-('Temperature in bundle'!$Q$6^2-4*(Y117+AA$7)*'Temperature in bundle'!$Q$7)^0.5)/2/(Y117+AA$7)))</f>
        <v/>
      </c>
      <c r="AA117" s="98" t="str">
        <f t="shared" si="52"/>
        <v/>
      </c>
      <c r="AB117" s="101" t="str">
        <f t="shared" si="59"/>
        <v/>
      </c>
    </row>
    <row r="118" spans="1:28">
      <c r="A118" t="str">
        <f t="shared" si="60"/>
        <v/>
      </c>
      <c r="B118" s="113">
        <v>4</v>
      </c>
      <c r="C118" s="113">
        <f>SQRT(3)/2*2</f>
        <v>1.7320508075688772</v>
      </c>
      <c r="D118" s="113">
        <f t="shared" ref="D118:D181" si="62">(B118^2+C118^2)^0.5</f>
        <v>4.358898943540674</v>
      </c>
      <c r="E118" s="113" t="str">
        <f t="shared" si="53"/>
        <v/>
      </c>
      <c r="F118" s="113" t="str">
        <f t="shared" si="53"/>
        <v/>
      </c>
      <c r="G118" s="113" t="str">
        <f t="shared" si="61"/>
        <v/>
      </c>
      <c r="J118" s="116" t="str">
        <f t="shared" si="54"/>
        <v/>
      </c>
      <c r="K118" s="119" t="str">
        <f t="shared" si="46"/>
        <v/>
      </c>
      <c r="L118" s="98" t="str">
        <f t="shared" si="47"/>
        <v/>
      </c>
      <c r="M118" s="101" t="str">
        <f t="shared" si="55"/>
        <v/>
      </c>
      <c r="O118" s="100" t="str">
        <f t="shared" si="48"/>
        <v/>
      </c>
      <c r="P118" s="119" t="str">
        <f>IF('Temperature in bundle'!$P$4="Current = 1A per pair",2,IF($A118="","",('Temperature in bundle'!$Q$6-('Temperature in bundle'!$Q$6^2-4*(O118+Q$7)*'Temperature in bundle'!$Q$7)^0.5)/2/(O118+Q$7)))</f>
        <v/>
      </c>
      <c r="Q118" s="98" t="str">
        <f t="shared" si="56"/>
        <v/>
      </c>
      <c r="R118" s="101" t="str">
        <f t="shared" si="57"/>
        <v/>
      </c>
      <c r="T118" s="100" t="str">
        <f t="shared" si="49"/>
        <v/>
      </c>
      <c r="U118" s="119" t="str">
        <f>IF('Temperature in bundle'!$P$4="Current = 1A per pair",2,IF($A118="","",('Temperature in bundle'!$Q$6-('Temperature in bundle'!$Q$6^2-4*(T118+V$7)*'Temperature in bundle'!$Q$7)^0.5)/2/(T118+V$7)))</f>
        <v/>
      </c>
      <c r="V118" s="98" t="str">
        <f t="shared" si="50"/>
        <v/>
      </c>
      <c r="W118" s="101" t="str">
        <f t="shared" si="58"/>
        <v/>
      </c>
      <c r="Y118" s="100" t="str">
        <f t="shared" si="51"/>
        <v/>
      </c>
      <c r="Z118" s="119" t="str">
        <f>IF('Temperature in bundle'!$P$4="Current = 1A per pair",2,IF($A118="","",('Temperature in bundle'!$Q$6-('Temperature in bundle'!$Q$6^2-4*(Y118+AA$7)*'Temperature in bundle'!$Q$7)^0.5)/2/(Y118+AA$7)))</f>
        <v/>
      </c>
      <c r="AA118" s="98" t="str">
        <f t="shared" si="52"/>
        <v/>
      </c>
      <c r="AB118" s="101" t="str">
        <f t="shared" si="59"/>
        <v/>
      </c>
    </row>
    <row r="119" spans="1:28">
      <c r="A119" t="str">
        <f t="shared" si="60"/>
        <v/>
      </c>
      <c r="B119" s="113">
        <v>3.5</v>
      </c>
      <c r="C119" s="113">
        <f>SQRT(3)/2*3</f>
        <v>2.598076211353316</v>
      </c>
      <c r="D119" s="113">
        <f t="shared" si="62"/>
        <v>4.358898943540674</v>
      </c>
      <c r="E119" s="113" t="str">
        <f t="shared" si="53"/>
        <v/>
      </c>
      <c r="F119" s="113" t="str">
        <f t="shared" si="53"/>
        <v/>
      </c>
      <c r="G119" s="113" t="str">
        <f t="shared" si="61"/>
        <v/>
      </c>
      <c r="J119" s="116" t="str">
        <f t="shared" si="54"/>
        <v/>
      </c>
      <c r="K119" s="119" t="str">
        <f t="shared" si="46"/>
        <v/>
      </c>
      <c r="L119" s="98" t="str">
        <f t="shared" si="47"/>
        <v/>
      </c>
      <c r="M119" s="101" t="str">
        <f t="shared" si="55"/>
        <v/>
      </c>
      <c r="O119" s="100" t="str">
        <f t="shared" si="48"/>
        <v/>
      </c>
      <c r="P119" s="119" t="str">
        <f>IF('Temperature in bundle'!$P$4="Current = 1A per pair",2,IF($A119="","",('Temperature in bundle'!$Q$6-('Temperature in bundle'!$Q$6^2-4*(O119+Q$7)*'Temperature in bundle'!$Q$7)^0.5)/2/(O119+Q$7)))</f>
        <v/>
      </c>
      <c r="Q119" s="98" t="str">
        <f t="shared" si="56"/>
        <v/>
      </c>
      <c r="R119" s="101" t="str">
        <f t="shared" si="57"/>
        <v/>
      </c>
      <c r="T119" s="100" t="str">
        <f t="shared" si="49"/>
        <v/>
      </c>
      <c r="U119" s="119" t="str">
        <f>IF('Temperature in bundle'!$P$4="Current = 1A per pair",2,IF($A119="","",('Temperature in bundle'!$Q$6-('Temperature in bundle'!$Q$6^2-4*(T119+V$7)*'Temperature in bundle'!$Q$7)^0.5)/2/(T119+V$7)))</f>
        <v/>
      </c>
      <c r="V119" s="98" t="str">
        <f t="shared" si="50"/>
        <v/>
      </c>
      <c r="W119" s="101" t="str">
        <f t="shared" si="58"/>
        <v/>
      </c>
      <c r="Y119" s="100" t="str">
        <f t="shared" si="51"/>
        <v/>
      </c>
      <c r="Z119" s="119" t="str">
        <f>IF('Temperature in bundle'!$P$4="Current = 1A per pair",2,IF($A119="","",('Temperature in bundle'!$Q$6-('Temperature in bundle'!$Q$6^2-4*(Y119+AA$7)*'Temperature in bundle'!$Q$7)^0.5)/2/(Y119+AA$7)))</f>
        <v/>
      </c>
      <c r="AA119" s="98" t="str">
        <f t="shared" si="52"/>
        <v/>
      </c>
      <c r="AB119" s="101" t="str">
        <f t="shared" si="59"/>
        <v/>
      </c>
    </row>
    <row r="120" spans="1:28">
      <c r="A120" t="str">
        <f t="shared" si="60"/>
        <v/>
      </c>
      <c r="B120" s="113">
        <v>3</v>
      </c>
      <c r="C120" s="113">
        <f>SQRT(3)/2*4</f>
        <v>3.4641016151377544</v>
      </c>
      <c r="D120" s="113">
        <f t="shared" si="62"/>
        <v>4.5825756949558398</v>
      </c>
      <c r="E120" s="113" t="str">
        <f t="shared" si="53"/>
        <v/>
      </c>
      <c r="F120" s="113" t="str">
        <f t="shared" si="53"/>
        <v/>
      </c>
      <c r="G120" s="113" t="str">
        <f t="shared" si="61"/>
        <v/>
      </c>
      <c r="J120" s="116" t="str">
        <f t="shared" si="54"/>
        <v/>
      </c>
      <c r="K120" s="119" t="str">
        <f t="shared" si="46"/>
        <v/>
      </c>
      <c r="L120" s="98" t="str">
        <f t="shared" si="47"/>
        <v/>
      </c>
      <c r="M120" s="101" t="str">
        <f t="shared" si="55"/>
        <v/>
      </c>
      <c r="O120" s="100" t="str">
        <f t="shared" si="48"/>
        <v/>
      </c>
      <c r="P120" s="119" t="str">
        <f>IF('Temperature in bundle'!$P$4="Current = 1A per pair",2,IF($A120="","",('Temperature in bundle'!$Q$6-('Temperature in bundle'!$Q$6^2-4*(O120+Q$7)*'Temperature in bundle'!$Q$7)^0.5)/2/(O120+Q$7)))</f>
        <v/>
      </c>
      <c r="Q120" s="98" t="str">
        <f t="shared" si="56"/>
        <v/>
      </c>
      <c r="R120" s="101" t="str">
        <f t="shared" si="57"/>
        <v/>
      </c>
      <c r="T120" s="100" t="str">
        <f t="shared" si="49"/>
        <v/>
      </c>
      <c r="U120" s="119" t="str">
        <f>IF('Temperature in bundle'!$P$4="Current = 1A per pair",2,IF($A120="","",('Temperature in bundle'!$Q$6-('Temperature in bundle'!$Q$6^2-4*(T120+V$7)*'Temperature in bundle'!$Q$7)^0.5)/2/(T120+V$7)))</f>
        <v/>
      </c>
      <c r="V120" s="98" t="str">
        <f t="shared" si="50"/>
        <v/>
      </c>
      <c r="W120" s="101" t="str">
        <f t="shared" si="58"/>
        <v/>
      </c>
      <c r="Y120" s="100" t="str">
        <f t="shared" si="51"/>
        <v/>
      </c>
      <c r="Z120" s="119" t="str">
        <f>IF('Temperature in bundle'!$P$4="Current = 1A per pair",2,IF($A120="","",('Temperature in bundle'!$Q$6-('Temperature in bundle'!$Q$6^2-4*(Y120+AA$7)*'Temperature in bundle'!$Q$7)^0.5)/2/(Y120+AA$7)))</f>
        <v/>
      </c>
      <c r="AA120" s="98" t="str">
        <f t="shared" si="52"/>
        <v/>
      </c>
      <c r="AB120" s="101" t="str">
        <f t="shared" si="59"/>
        <v/>
      </c>
    </row>
    <row r="121" spans="1:28">
      <c r="A121" t="str">
        <f t="shared" si="60"/>
        <v/>
      </c>
      <c r="B121" s="113">
        <v>2.5</v>
      </c>
      <c r="C121" s="113">
        <f>SQRT(3)/2*5</f>
        <v>4.3301270189221928</v>
      </c>
      <c r="D121" s="113">
        <f t="shared" si="62"/>
        <v>5</v>
      </c>
      <c r="E121" s="113" t="str">
        <f t="shared" si="53"/>
        <v/>
      </c>
      <c r="F121" s="113" t="str">
        <f t="shared" si="53"/>
        <v/>
      </c>
      <c r="G121" s="113" t="str">
        <f t="shared" si="61"/>
        <v/>
      </c>
      <c r="J121" s="116" t="str">
        <f t="shared" si="54"/>
        <v/>
      </c>
      <c r="K121" s="119" t="str">
        <f t="shared" si="46"/>
        <v/>
      </c>
      <c r="L121" s="98" t="str">
        <f t="shared" si="47"/>
        <v/>
      </c>
      <c r="M121" s="101" t="str">
        <f t="shared" si="55"/>
        <v/>
      </c>
      <c r="O121" s="100" t="str">
        <f t="shared" si="48"/>
        <v/>
      </c>
      <c r="P121" s="119" t="str">
        <f>IF('Temperature in bundle'!$P$4="Current = 1A per pair",2,IF($A121="","",('Temperature in bundle'!$Q$6-('Temperature in bundle'!$Q$6^2-4*(O121+Q$7)*'Temperature in bundle'!$Q$7)^0.5)/2/(O121+Q$7)))</f>
        <v/>
      </c>
      <c r="Q121" s="98" t="str">
        <f t="shared" si="56"/>
        <v/>
      </c>
      <c r="R121" s="101" t="str">
        <f t="shared" si="57"/>
        <v/>
      </c>
      <c r="T121" s="100" t="str">
        <f t="shared" si="49"/>
        <v/>
      </c>
      <c r="U121" s="119" t="str">
        <f>IF('Temperature in bundle'!$P$4="Current = 1A per pair",2,IF($A121="","",('Temperature in bundle'!$Q$6-('Temperature in bundle'!$Q$6^2-4*(T121+V$7)*'Temperature in bundle'!$Q$7)^0.5)/2/(T121+V$7)))</f>
        <v/>
      </c>
      <c r="V121" s="98" t="str">
        <f t="shared" si="50"/>
        <v/>
      </c>
      <c r="W121" s="101" t="str">
        <f t="shared" si="58"/>
        <v/>
      </c>
      <c r="Y121" s="100" t="str">
        <f t="shared" si="51"/>
        <v/>
      </c>
      <c r="Z121" s="119" t="str">
        <f>IF('Temperature in bundle'!$P$4="Current = 1A per pair",2,IF($A121="","",('Temperature in bundle'!$Q$6-('Temperature in bundle'!$Q$6^2-4*(Y121+AA$7)*'Temperature in bundle'!$Q$7)^0.5)/2/(Y121+AA$7)))</f>
        <v/>
      </c>
      <c r="AA121" s="98" t="str">
        <f t="shared" si="52"/>
        <v/>
      </c>
      <c r="AB121" s="101" t="str">
        <f t="shared" si="59"/>
        <v/>
      </c>
    </row>
    <row r="122" spans="1:28">
      <c r="A122" t="str">
        <f t="shared" si="60"/>
        <v/>
      </c>
      <c r="B122" s="113">
        <v>1.5</v>
      </c>
      <c r="C122" s="113">
        <f t="shared" ref="C122:C126" si="63">SQRT(3)/2*5</f>
        <v>4.3301270189221928</v>
      </c>
      <c r="D122" s="113">
        <f t="shared" si="62"/>
        <v>4.5825756949558398</v>
      </c>
      <c r="E122" s="113" t="str">
        <f t="shared" si="53"/>
        <v/>
      </c>
      <c r="F122" s="113" t="str">
        <f t="shared" si="53"/>
        <v/>
      </c>
      <c r="G122" s="113" t="str">
        <f t="shared" si="61"/>
        <v/>
      </c>
      <c r="J122" s="116" t="str">
        <f t="shared" si="54"/>
        <v/>
      </c>
      <c r="K122" s="119" t="str">
        <f t="shared" si="46"/>
        <v/>
      </c>
      <c r="L122" s="98" t="str">
        <f t="shared" si="47"/>
        <v/>
      </c>
      <c r="M122" s="101" t="str">
        <f t="shared" si="55"/>
        <v/>
      </c>
      <c r="O122" s="100" t="str">
        <f t="shared" si="48"/>
        <v/>
      </c>
      <c r="P122" s="119" t="str">
        <f>IF('Temperature in bundle'!$P$4="Current = 1A per pair",2,IF($A122="","",('Temperature in bundle'!$Q$6-('Temperature in bundle'!$Q$6^2-4*(O122+Q$7)*'Temperature in bundle'!$Q$7)^0.5)/2/(O122+Q$7)))</f>
        <v/>
      </c>
      <c r="Q122" s="98" t="str">
        <f t="shared" si="56"/>
        <v/>
      </c>
      <c r="R122" s="101" t="str">
        <f t="shared" si="57"/>
        <v/>
      </c>
      <c r="T122" s="100" t="str">
        <f t="shared" si="49"/>
        <v/>
      </c>
      <c r="U122" s="119" t="str">
        <f>IF('Temperature in bundle'!$P$4="Current = 1A per pair",2,IF($A122="","",('Temperature in bundle'!$Q$6-('Temperature in bundle'!$Q$6^2-4*(T122+V$7)*'Temperature in bundle'!$Q$7)^0.5)/2/(T122+V$7)))</f>
        <v/>
      </c>
      <c r="V122" s="98" t="str">
        <f t="shared" si="50"/>
        <v/>
      </c>
      <c r="W122" s="101" t="str">
        <f t="shared" si="58"/>
        <v/>
      </c>
      <c r="Y122" s="100" t="str">
        <f t="shared" si="51"/>
        <v/>
      </c>
      <c r="Z122" s="119" t="str">
        <f>IF('Temperature in bundle'!$P$4="Current = 1A per pair",2,IF($A122="","",('Temperature in bundle'!$Q$6-('Temperature in bundle'!$Q$6^2-4*(Y122+AA$7)*'Temperature in bundle'!$Q$7)^0.5)/2/(Y122+AA$7)))</f>
        <v/>
      </c>
      <c r="AA122" s="98" t="str">
        <f t="shared" si="52"/>
        <v/>
      </c>
      <c r="AB122" s="101" t="str">
        <f t="shared" si="59"/>
        <v/>
      </c>
    </row>
    <row r="123" spans="1:28">
      <c r="A123" t="str">
        <f t="shared" si="60"/>
        <v/>
      </c>
      <c r="B123" s="113">
        <v>0.5</v>
      </c>
      <c r="C123" s="113">
        <f t="shared" si="63"/>
        <v>4.3301270189221928</v>
      </c>
      <c r="D123" s="113">
        <f t="shared" si="62"/>
        <v>4.3588989435406731</v>
      </c>
      <c r="E123" s="113" t="str">
        <f t="shared" si="53"/>
        <v/>
      </c>
      <c r="F123" s="113" t="str">
        <f t="shared" si="53"/>
        <v/>
      </c>
      <c r="G123" s="113" t="str">
        <f t="shared" si="61"/>
        <v/>
      </c>
      <c r="J123" s="116" t="str">
        <f t="shared" si="54"/>
        <v/>
      </c>
      <c r="K123" s="119" t="str">
        <f t="shared" si="46"/>
        <v/>
      </c>
      <c r="L123" s="98" t="str">
        <f t="shared" si="47"/>
        <v/>
      </c>
      <c r="M123" s="101" t="str">
        <f t="shared" si="55"/>
        <v/>
      </c>
      <c r="O123" s="100" t="str">
        <f t="shared" si="48"/>
        <v/>
      </c>
      <c r="P123" s="119" t="str">
        <f>IF('Temperature in bundle'!$P$4="Current = 1A per pair",2,IF($A123="","",('Temperature in bundle'!$Q$6-('Temperature in bundle'!$Q$6^2-4*(O123+Q$7)*'Temperature in bundle'!$Q$7)^0.5)/2/(O123+Q$7)))</f>
        <v/>
      </c>
      <c r="Q123" s="98" t="str">
        <f t="shared" si="56"/>
        <v/>
      </c>
      <c r="R123" s="101" t="str">
        <f t="shared" si="57"/>
        <v/>
      </c>
      <c r="T123" s="100" t="str">
        <f t="shared" si="49"/>
        <v/>
      </c>
      <c r="U123" s="119" t="str">
        <f>IF('Temperature in bundle'!$P$4="Current = 1A per pair",2,IF($A123="","",('Temperature in bundle'!$Q$6-('Temperature in bundle'!$Q$6^2-4*(T123+V$7)*'Temperature in bundle'!$Q$7)^0.5)/2/(T123+V$7)))</f>
        <v/>
      </c>
      <c r="V123" s="98" t="str">
        <f t="shared" si="50"/>
        <v/>
      </c>
      <c r="W123" s="101" t="str">
        <f t="shared" si="58"/>
        <v/>
      </c>
      <c r="Y123" s="100" t="str">
        <f t="shared" si="51"/>
        <v/>
      </c>
      <c r="Z123" s="119" t="str">
        <f>IF('Temperature in bundle'!$P$4="Current = 1A per pair",2,IF($A123="","",('Temperature in bundle'!$Q$6-('Temperature in bundle'!$Q$6^2-4*(Y123+AA$7)*'Temperature in bundle'!$Q$7)^0.5)/2/(Y123+AA$7)))</f>
        <v/>
      </c>
      <c r="AA123" s="98" t="str">
        <f t="shared" si="52"/>
        <v/>
      </c>
      <c r="AB123" s="101" t="str">
        <f t="shared" si="59"/>
        <v/>
      </c>
    </row>
    <row r="124" spans="1:28">
      <c r="A124" t="str">
        <f t="shared" si="60"/>
        <v/>
      </c>
      <c r="B124" s="113">
        <v>-0.5</v>
      </c>
      <c r="C124" s="113">
        <f t="shared" si="63"/>
        <v>4.3301270189221928</v>
      </c>
      <c r="D124" s="113">
        <f t="shared" si="62"/>
        <v>4.3588989435406731</v>
      </c>
      <c r="E124" s="113" t="str">
        <f t="shared" si="53"/>
        <v/>
      </c>
      <c r="F124" s="113" t="str">
        <f t="shared" si="53"/>
        <v/>
      </c>
      <c r="G124" s="113" t="str">
        <f t="shared" si="61"/>
        <v/>
      </c>
      <c r="J124" s="116" t="str">
        <f t="shared" si="54"/>
        <v/>
      </c>
      <c r="K124" s="119" t="str">
        <f t="shared" si="46"/>
        <v/>
      </c>
      <c r="L124" s="98" t="str">
        <f t="shared" si="47"/>
        <v/>
      </c>
      <c r="M124" s="101" t="str">
        <f t="shared" si="55"/>
        <v/>
      </c>
      <c r="O124" s="100" t="str">
        <f t="shared" si="48"/>
        <v/>
      </c>
      <c r="P124" s="119" t="str">
        <f>IF('Temperature in bundle'!$P$4="Current = 1A per pair",2,IF($A124="","",('Temperature in bundle'!$Q$6-('Temperature in bundle'!$Q$6^2-4*(O124+Q$7)*'Temperature in bundle'!$Q$7)^0.5)/2/(O124+Q$7)))</f>
        <v/>
      </c>
      <c r="Q124" s="98" t="str">
        <f t="shared" si="56"/>
        <v/>
      </c>
      <c r="R124" s="101" t="str">
        <f t="shared" si="57"/>
        <v/>
      </c>
      <c r="T124" s="100" t="str">
        <f t="shared" si="49"/>
        <v/>
      </c>
      <c r="U124" s="119" t="str">
        <f>IF('Temperature in bundle'!$P$4="Current = 1A per pair",2,IF($A124="","",('Temperature in bundle'!$Q$6-('Temperature in bundle'!$Q$6^2-4*(T124+V$7)*'Temperature in bundle'!$Q$7)^0.5)/2/(T124+V$7)))</f>
        <v/>
      </c>
      <c r="V124" s="98" t="str">
        <f t="shared" si="50"/>
        <v/>
      </c>
      <c r="W124" s="101" t="str">
        <f t="shared" si="58"/>
        <v/>
      </c>
      <c r="Y124" s="100" t="str">
        <f t="shared" si="51"/>
        <v/>
      </c>
      <c r="Z124" s="119" t="str">
        <f>IF('Temperature in bundle'!$P$4="Current = 1A per pair",2,IF($A124="","",('Temperature in bundle'!$Q$6-('Temperature in bundle'!$Q$6^2-4*(Y124+AA$7)*'Temperature in bundle'!$Q$7)^0.5)/2/(Y124+AA$7)))</f>
        <v/>
      </c>
      <c r="AA124" s="98" t="str">
        <f t="shared" si="52"/>
        <v/>
      </c>
      <c r="AB124" s="101" t="str">
        <f t="shared" si="59"/>
        <v/>
      </c>
    </row>
    <row r="125" spans="1:28">
      <c r="A125" t="str">
        <f t="shared" si="60"/>
        <v/>
      </c>
      <c r="B125" s="113">
        <v>-1.5</v>
      </c>
      <c r="C125" s="113">
        <f t="shared" si="63"/>
        <v>4.3301270189221928</v>
      </c>
      <c r="D125" s="113">
        <f t="shared" si="62"/>
        <v>4.5825756949558398</v>
      </c>
      <c r="E125" s="113" t="str">
        <f t="shared" si="53"/>
        <v/>
      </c>
      <c r="F125" s="113" t="str">
        <f t="shared" si="53"/>
        <v/>
      </c>
      <c r="G125" s="113" t="str">
        <f t="shared" si="61"/>
        <v/>
      </c>
      <c r="J125" s="116" t="str">
        <f t="shared" si="54"/>
        <v/>
      </c>
      <c r="K125" s="119" t="str">
        <f t="shared" si="46"/>
        <v/>
      </c>
      <c r="L125" s="98" t="str">
        <f t="shared" si="47"/>
        <v/>
      </c>
      <c r="M125" s="101" t="str">
        <f t="shared" si="55"/>
        <v/>
      </c>
      <c r="O125" s="100" t="str">
        <f t="shared" si="48"/>
        <v/>
      </c>
      <c r="P125" s="119" t="str">
        <f>IF('Temperature in bundle'!$P$4="Current = 1A per pair",2,IF($A125="","",('Temperature in bundle'!$Q$6-('Temperature in bundle'!$Q$6^2-4*(O125+Q$7)*'Temperature in bundle'!$Q$7)^0.5)/2/(O125+Q$7)))</f>
        <v/>
      </c>
      <c r="Q125" s="98" t="str">
        <f t="shared" si="56"/>
        <v/>
      </c>
      <c r="R125" s="101" t="str">
        <f t="shared" si="57"/>
        <v/>
      </c>
      <c r="T125" s="100" t="str">
        <f t="shared" si="49"/>
        <v/>
      </c>
      <c r="U125" s="119" t="str">
        <f>IF('Temperature in bundle'!$P$4="Current = 1A per pair",2,IF($A125="","",('Temperature in bundle'!$Q$6-('Temperature in bundle'!$Q$6^2-4*(T125+V$7)*'Temperature in bundle'!$Q$7)^0.5)/2/(T125+V$7)))</f>
        <v/>
      </c>
      <c r="V125" s="98" t="str">
        <f t="shared" si="50"/>
        <v/>
      </c>
      <c r="W125" s="101" t="str">
        <f t="shared" si="58"/>
        <v/>
      </c>
      <c r="Y125" s="100" t="str">
        <f t="shared" si="51"/>
        <v/>
      </c>
      <c r="Z125" s="119" t="str">
        <f>IF('Temperature in bundle'!$P$4="Current = 1A per pair",2,IF($A125="","",('Temperature in bundle'!$Q$6-('Temperature in bundle'!$Q$6^2-4*(Y125+AA$7)*'Temperature in bundle'!$Q$7)^0.5)/2/(Y125+AA$7)))</f>
        <v/>
      </c>
      <c r="AA125" s="98" t="str">
        <f t="shared" si="52"/>
        <v/>
      </c>
      <c r="AB125" s="101" t="str">
        <f t="shared" si="59"/>
        <v/>
      </c>
    </row>
    <row r="126" spans="1:28">
      <c r="A126" t="str">
        <f t="shared" si="60"/>
        <v/>
      </c>
      <c r="B126" s="113">
        <v>-2.5</v>
      </c>
      <c r="C126" s="113">
        <f t="shared" si="63"/>
        <v>4.3301270189221928</v>
      </c>
      <c r="D126" s="113">
        <f t="shared" si="62"/>
        <v>5</v>
      </c>
      <c r="E126" s="113" t="str">
        <f t="shared" si="53"/>
        <v/>
      </c>
      <c r="F126" s="113" t="str">
        <f t="shared" si="53"/>
        <v/>
      </c>
      <c r="G126" s="113" t="str">
        <f t="shared" si="61"/>
        <v/>
      </c>
      <c r="J126" s="116" t="str">
        <f t="shared" si="54"/>
        <v/>
      </c>
      <c r="K126" s="119" t="str">
        <f t="shared" si="46"/>
        <v/>
      </c>
      <c r="L126" s="98" t="str">
        <f t="shared" si="47"/>
        <v/>
      </c>
      <c r="M126" s="101" t="str">
        <f t="shared" si="55"/>
        <v/>
      </c>
      <c r="O126" s="100" t="str">
        <f t="shared" si="48"/>
        <v/>
      </c>
      <c r="P126" s="119" t="str">
        <f>IF('Temperature in bundle'!$P$4="Current = 1A per pair",2,IF($A126="","",('Temperature in bundle'!$Q$6-('Temperature in bundle'!$Q$6^2-4*(O126+Q$7)*'Temperature in bundle'!$Q$7)^0.5)/2/(O126+Q$7)))</f>
        <v/>
      </c>
      <c r="Q126" s="98" t="str">
        <f t="shared" si="56"/>
        <v/>
      </c>
      <c r="R126" s="101" t="str">
        <f t="shared" si="57"/>
        <v/>
      </c>
      <c r="T126" s="100" t="str">
        <f t="shared" si="49"/>
        <v/>
      </c>
      <c r="U126" s="119" t="str">
        <f>IF('Temperature in bundle'!$P$4="Current = 1A per pair",2,IF($A126="","",('Temperature in bundle'!$Q$6-('Temperature in bundle'!$Q$6^2-4*(T126+V$7)*'Temperature in bundle'!$Q$7)^0.5)/2/(T126+V$7)))</f>
        <v/>
      </c>
      <c r="V126" s="98" t="str">
        <f t="shared" si="50"/>
        <v/>
      </c>
      <c r="W126" s="101" t="str">
        <f t="shared" si="58"/>
        <v/>
      </c>
      <c r="Y126" s="100" t="str">
        <f t="shared" si="51"/>
        <v/>
      </c>
      <c r="Z126" s="119" t="str">
        <f>IF('Temperature in bundle'!$P$4="Current = 1A per pair",2,IF($A126="","",('Temperature in bundle'!$Q$6-('Temperature in bundle'!$Q$6^2-4*(Y126+AA$7)*'Temperature in bundle'!$Q$7)^0.5)/2/(Y126+AA$7)))</f>
        <v/>
      </c>
      <c r="AA126" s="98" t="str">
        <f t="shared" si="52"/>
        <v/>
      </c>
      <c r="AB126" s="101" t="str">
        <f t="shared" si="59"/>
        <v/>
      </c>
    </row>
    <row r="127" spans="1:28">
      <c r="A127" t="str">
        <f t="shared" si="60"/>
        <v/>
      </c>
      <c r="B127" s="113">
        <v>-3</v>
      </c>
      <c r="C127" s="113">
        <f>SQRT(3)/2*4</f>
        <v>3.4641016151377544</v>
      </c>
      <c r="D127" s="113">
        <f t="shared" si="62"/>
        <v>4.5825756949558398</v>
      </c>
      <c r="E127" s="113" t="str">
        <f t="shared" si="53"/>
        <v/>
      </c>
      <c r="F127" s="113" t="str">
        <f t="shared" si="53"/>
        <v/>
      </c>
      <c r="G127" s="113" t="str">
        <f t="shared" si="61"/>
        <v/>
      </c>
      <c r="J127" s="116" t="str">
        <f t="shared" si="54"/>
        <v/>
      </c>
      <c r="K127" s="119" t="str">
        <f t="shared" si="46"/>
        <v/>
      </c>
      <c r="L127" s="98" t="str">
        <f t="shared" si="47"/>
        <v/>
      </c>
      <c r="M127" s="101" t="str">
        <f t="shared" si="55"/>
        <v/>
      </c>
      <c r="O127" s="100" t="str">
        <f t="shared" si="48"/>
        <v/>
      </c>
      <c r="P127" s="119" t="str">
        <f>IF('Temperature in bundle'!$P$4="Current = 1A per pair",2,IF($A127="","",('Temperature in bundle'!$Q$6-('Temperature in bundle'!$Q$6^2-4*(O127+Q$7)*'Temperature in bundle'!$Q$7)^0.5)/2/(O127+Q$7)))</f>
        <v/>
      </c>
      <c r="Q127" s="98" t="str">
        <f t="shared" si="56"/>
        <v/>
      </c>
      <c r="R127" s="101" t="str">
        <f t="shared" si="57"/>
        <v/>
      </c>
      <c r="T127" s="100" t="str">
        <f t="shared" si="49"/>
        <v/>
      </c>
      <c r="U127" s="119" t="str">
        <f>IF('Temperature in bundle'!$P$4="Current = 1A per pair",2,IF($A127="","",('Temperature in bundle'!$Q$6-('Temperature in bundle'!$Q$6^2-4*(T127+V$7)*'Temperature in bundle'!$Q$7)^0.5)/2/(T127+V$7)))</f>
        <v/>
      </c>
      <c r="V127" s="98" t="str">
        <f t="shared" si="50"/>
        <v/>
      </c>
      <c r="W127" s="101" t="str">
        <f t="shared" si="58"/>
        <v/>
      </c>
      <c r="Y127" s="100" t="str">
        <f t="shared" si="51"/>
        <v/>
      </c>
      <c r="Z127" s="119" t="str">
        <f>IF('Temperature in bundle'!$P$4="Current = 1A per pair",2,IF($A127="","",('Temperature in bundle'!$Q$6-('Temperature in bundle'!$Q$6^2-4*(Y127+AA$7)*'Temperature in bundle'!$Q$7)^0.5)/2/(Y127+AA$7)))</f>
        <v/>
      </c>
      <c r="AA127" s="98" t="str">
        <f t="shared" si="52"/>
        <v/>
      </c>
      <c r="AB127" s="101" t="str">
        <f t="shared" si="59"/>
        <v/>
      </c>
    </row>
    <row r="128" spans="1:28">
      <c r="A128" t="str">
        <f t="shared" si="60"/>
        <v/>
      </c>
      <c r="B128" s="113">
        <v>-3.5</v>
      </c>
      <c r="C128" s="113">
        <f>SQRT(3)/2*3</f>
        <v>2.598076211353316</v>
      </c>
      <c r="D128" s="113">
        <f t="shared" si="62"/>
        <v>4.358898943540674</v>
      </c>
      <c r="E128" s="113" t="str">
        <f t="shared" si="53"/>
        <v/>
      </c>
      <c r="F128" s="113" t="str">
        <f t="shared" si="53"/>
        <v/>
      </c>
      <c r="G128" s="113" t="str">
        <f t="shared" si="61"/>
        <v/>
      </c>
      <c r="J128" s="116" t="str">
        <f t="shared" si="54"/>
        <v/>
      </c>
      <c r="K128" s="119" t="str">
        <f t="shared" si="46"/>
        <v/>
      </c>
      <c r="L128" s="98" t="str">
        <f t="shared" si="47"/>
        <v/>
      </c>
      <c r="M128" s="101" t="str">
        <f t="shared" si="55"/>
        <v/>
      </c>
      <c r="O128" s="100" t="str">
        <f t="shared" si="48"/>
        <v/>
      </c>
      <c r="P128" s="119" t="str">
        <f>IF('Temperature in bundle'!$P$4="Current = 1A per pair",2,IF($A128="","",('Temperature in bundle'!$Q$6-('Temperature in bundle'!$Q$6^2-4*(O128+Q$7)*'Temperature in bundle'!$Q$7)^0.5)/2/(O128+Q$7)))</f>
        <v/>
      </c>
      <c r="Q128" s="98" t="str">
        <f t="shared" si="56"/>
        <v/>
      </c>
      <c r="R128" s="101" t="str">
        <f t="shared" si="57"/>
        <v/>
      </c>
      <c r="T128" s="100" t="str">
        <f t="shared" si="49"/>
        <v/>
      </c>
      <c r="U128" s="119" t="str">
        <f>IF('Temperature in bundle'!$P$4="Current = 1A per pair",2,IF($A128="","",('Temperature in bundle'!$Q$6-('Temperature in bundle'!$Q$6^2-4*(T128+V$7)*'Temperature in bundle'!$Q$7)^0.5)/2/(T128+V$7)))</f>
        <v/>
      </c>
      <c r="V128" s="98" t="str">
        <f t="shared" si="50"/>
        <v/>
      </c>
      <c r="W128" s="101" t="str">
        <f t="shared" si="58"/>
        <v/>
      </c>
      <c r="Y128" s="100" t="str">
        <f t="shared" si="51"/>
        <v/>
      </c>
      <c r="Z128" s="119" t="str">
        <f>IF('Temperature in bundle'!$P$4="Current = 1A per pair",2,IF($A128="","",('Temperature in bundle'!$Q$6-('Temperature in bundle'!$Q$6^2-4*(Y128+AA$7)*'Temperature in bundle'!$Q$7)^0.5)/2/(Y128+AA$7)))</f>
        <v/>
      </c>
      <c r="AA128" s="98" t="str">
        <f t="shared" si="52"/>
        <v/>
      </c>
      <c r="AB128" s="101" t="str">
        <f t="shared" si="59"/>
        <v/>
      </c>
    </row>
    <row r="129" spans="1:28">
      <c r="A129" t="str">
        <f t="shared" si="60"/>
        <v/>
      </c>
      <c r="B129" s="113">
        <v>-4</v>
      </c>
      <c r="C129" s="113">
        <f>SQRT(3)/2*2</f>
        <v>1.7320508075688772</v>
      </c>
      <c r="D129" s="113">
        <f t="shared" si="62"/>
        <v>4.358898943540674</v>
      </c>
      <c r="E129" s="113" t="str">
        <f t="shared" si="53"/>
        <v/>
      </c>
      <c r="F129" s="113" t="str">
        <f t="shared" si="53"/>
        <v/>
      </c>
      <c r="G129" s="113" t="str">
        <f t="shared" si="61"/>
        <v/>
      </c>
      <c r="J129" s="116" t="str">
        <f t="shared" si="54"/>
        <v/>
      </c>
      <c r="K129" s="119" t="str">
        <f t="shared" si="46"/>
        <v/>
      </c>
      <c r="L129" s="98" t="str">
        <f t="shared" si="47"/>
        <v/>
      </c>
      <c r="M129" s="101" t="str">
        <f t="shared" si="55"/>
        <v/>
      </c>
      <c r="O129" s="100" t="str">
        <f t="shared" si="48"/>
        <v/>
      </c>
      <c r="P129" s="119" t="str">
        <f>IF('Temperature in bundle'!$P$4="Current = 1A per pair",2,IF($A129="","",('Temperature in bundle'!$Q$6-('Temperature in bundle'!$Q$6^2-4*(O129+Q$7)*'Temperature in bundle'!$Q$7)^0.5)/2/(O129+Q$7)))</f>
        <v/>
      </c>
      <c r="Q129" s="98" t="str">
        <f t="shared" si="56"/>
        <v/>
      </c>
      <c r="R129" s="101" t="str">
        <f t="shared" si="57"/>
        <v/>
      </c>
      <c r="T129" s="100" t="str">
        <f t="shared" si="49"/>
        <v/>
      </c>
      <c r="U129" s="119" t="str">
        <f>IF('Temperature in bundle'!$P$4="Current = 1A per pair",2,IF($A129="","",('Temperature in bundle'!$Q$6-('Temperature in bundle'!$Q$6^2-4*(T129+V$7)*'Temperature in bundle'!$Q$7)^0.5)/2/(T129+V$7)))</f>
        <v/>
      </c>
      <c r="V129" s="98" t="str">
        <f t="shared" si="50"/>
        <v/>
      </c>
      <c r="W129" s="101" t="str">
        <f t="shared" si="58"/>
        <v/>
      </c>
      <c r="Y129" s="100" t="str">
        <f t="shared" si="51"/>
        <v/>
      </c>
      <c r="Z129" s="119" t="str">
        <f>IF('Temperature in bundle'!$P$4="Current = 1A per pair",2,IF($A129="","",('Temperature in bundle'!$Q$6-('Temperature in bundle'!$Q$6^2-4*(Y129+AA$7)*'Temperature in bundle'!$Q$7)^0.5)/2/(Y129+AA$7)))</f>
        <v/>
      </c>
      <c r="AA129" s="98" t="str">
        <f t="shared" si="52"/>
        <v/>
      </c>
      <c r="AB129" s="101" t="str">
        <f t="shared" si="59"/>
        <v/>
      </c>
    </row>
    <row r="130" spans="1:28">
      <c r="A130" t="str">
        <f t="shared" si="60"/>
        <v/>
      </c>
      <c r="B130" s="113">
        <v>-4.5</v>
      </c>
      <c r="C130" s="113">
        <f>SQRT(3)/2</f>
        <v>0.8660254037844386</v>
      </c>
      <c r="D130" s="113">
        <f t="shared" si="62"/>
        <v>4.5825756949558398</v>
      </c>
      <c r="E130" s="113" t="str">
        <f t="shared" si="53"/>
        <v/>
      </c>
      <c r="F130" s="113" t="str">
        <f t="shared" si="53"/>
        <v/>
      </c>
      <c r="G130" s="113" t="str">
        <f t="shared" si="61"/>
        <v/>
      </c>
      <c r="J130" s="116" t="str">
        <f t="shared" si="54"/>
        <v/>
      </c>
      <c r="K130" s="119" t="str">
        <f t="shared" si="46"/>
        <v/>
      </c>
      <c r="L130" s="98" t="str">
        <f t="shared" si="47"/>
        <v/>
      </c>
      <c r="M130" s="101" t="str">
        <f t="shared" si="55"/>
        <v/>
      </c>
      <c r="O130" s="100" t="str">
        <f t="shared" si="48"/>
        <v/>
      </c>
      <c r="P130" s="119" t="str">
        <f>IF('Temperature in bundle'!$P$4="Current = 1A per pair",2,IF($A130="","",('Temperature in bundle'!$Q$6-('Temperature in bundle'!$Q$6^2-4*(O130+Q$7)*'Temperature in bundle'!$Q$7)^0.5)/2/(O130+Q$7)))</f>
        <v/>
      </c>
      <c r="Q130" s="98" t="str">
        <f t="shared" si="56"/>
        <v/>
      </c>
      <c r="R130" s="101" t="str">
        <f t="shared" si="57"/>
        <v/>
      </c>
      <c r="T130" s="100" t="str">
        <f t="shared" si="49"/>
        <v/>
      </c>
      <c r="U130" s="119" t="str">
        <f>IF('Temperature in bundle'!$P$4="Current = 1A per pair",2,IF($A130="","",('Temperature in bundle'!$Q$6-('Temperature in bundle'!$Q$6^2-4*(T130+V$7)*'Temperature in bundle'!$Q$7)^0.5)/2/(T130+V$7)))</f>
        <v/>
      </c>
      <c r="V130" s="98" t="str">
        <f t="shared" si="50"/>
        <v/>
      </c>
      <c r="W130" s="101" t="str">
        <f t="shared" si="58"/>
        <v/>
      </c>
      <c r="Y130" s="100" t="str">
        <f t="shared" si="51"/>
        <v/>
      </c>
      <c r="Z130" s="119" t="str">
        <f>IF('Temperature in bundle'!$P$4="Current = 1A per pair",2,IF($A130="","",('Temperature in bundle'!$Q$6-('Temperature in bundle'!$Q$6^2-4*(Y130+AA$7)*'Temperature in bundle'!$Q$7)^0.5)/2/(Y130+AA$7)))</f>
        <v/>
      </c>
      <c r="AA130" s="98" t="str">
        <f t="shared" si="52"/>
        <v/>
      </c>
      <c r="AB130" s="101" t="str">
        <f t="shared" si="59"/>
        <v/>
      </c>
    </row>
    <row r="131" spans="1:28">
      <c r="A131" t="str">
        <f t="shared" si="60"/>
        <v/>
      </c>
      <c r="B131" s="113">
        <v>-5</v>
      </c>
      <c r="C131" s="113">
        <v>0</v>
      </c>
      <c r="D131" s="113">
        <f t="shared" si="62"/>
        <v>5</v>
      </c>
      <c r="E131" s="113" t="str">
        <f t="shared" si="53"/>
        <v/>
      </c>
      <c r="F131" s="113" t="str">
        <f t="shared" si="53"/>
        <v/>
      </c>
      <c r="G131" s="113" t="str">
        <f t="shared" si="61"/>
        <v/>
      </c>
      <c r="J131" s="116" t="str">
        <f t="shared" si="54"/>
        <v/>
      </c>
      <c r="K131" s="119" t="str">
        <f t="shared" si="46"/>
        <v/>
      </c>
      <c r="L131" s="98" t="str">
        <f t="shared" si="47"/>
        <v/>
      </c>
      <c r="M131" s="101" t="str">
        <f t="shared" si="55"/>
        <v/>
      </c>
      <c r="O131" s="100" t="str">
        <f t="shared" si="48"/>
        <v/>
      </c>
      <c r="P131" s="119" t="str">
        <f>IF('Temperature in bundle'!$P$4="Current = 1A per pair",2,IF($A131="","",('Temperature in bundle'!$Q$6-('Temperature in bundle'!$Q$6^2-4*(O131+Q$7)*'Temperature in bundle'!$Q$7)^0.5)/2/(O131+Q$7)))</f>
        <v/>
      </c>
      <c r="Q131" s="98" t="str">
        <f t="shared" si="56"/>
        <v/>
      </c>
      <c r="R131" s="101" t="str">
        <f t="shared" si="57"/>
        <v/>
      </c>
      <c r="T131" s="100" t="str">
        <f t="shared" si="49"/>
        <v/>
      </c>
      <c r="U131" s="119" t="str">
        <f>IF('Temperature in bundle'!$P$4="Current = 1A per pair",2,IF($A131="","",('Temperature in bundle'!$Q$6-('Temperature in bundle'!$Q$6^2-4*(T131+V$7)*'Temperature in bundle'!$Q$7)^0.5)/2/(T131+V$7)))</f>
        <v/>
      </c>
      <c r="V131" s="98" t="str">
        <f t="shared" si="50"/>
        <v/>
      </c>
      <c r="W131" s="101" t="str">
        <f t="shared" si="58"/>
        <v/>
      </c>
      <c r="Y131" s="100" t="str">
        <f t="shared" si="51"/>
        <v/>
      </c>
      <c r="Z131" s="119" t="str">
        <f>IF('Temperature in bundle'!$P$4="Current = 1A per pair",2,IF($A131="","",('Temperature in bundle'!$Q$6-('Temperature in bundle'!$Q$6^2-4*(Y131+AA$7)*'Temperature in bundle'!$Q$7)^0.5)/2/(Y131+AA$7)))</f>
        <v/>
      </c>
      <c r="AA131" s="98" t="str">
        <f t="shared" si="52"/>
        <v/>
      </c>
      <c r="AB131" s="101" t="str">
        <f t="shared" si="59"/>
        <v/>
      </c>
    </row>
    <row r="132" spans="1:28">
      <c r="A132" t="str">
        <f t="shared" si="60"/>
        <v/>
      </c>
      <c r="B132" s="113">
        <v>-4.5</v>
      </c>
      <c r="C132" s="113">
        <f t="shared" ref="C132" si="64">(SQRT(3)/2)*-1</f>
        <v>-0.8660254037844386</v>
      </c>
      <c r="D132" s="113">
        <f t="shared" si="62"/>
        <v>4.5825756949558398</v>
      </c>
      <c r="E132" s="113" t="str">
        <f t="shared" si="53"/>
        <v/>
      </c>
      <c r="F132" s="113" t="str">
        <f t="shared" si="53"/>
        <v/>
      </c>
      <c r="G132" s="113" t="str">
        <f t="shared" si="61"/>
        <v/>
      </c>
      <c r="J132" s="116" t="str">
        <f t="shared" si="54"/>
        <v/>
      </c>
      <c r="K132" s="119" t="str">
        <f t="shared" si="46"/>
        <v/>
      </c>
      <c r="L132" s="98" t="str">
        <f t="shared" si="47"/>
        <v/>
      </c>
      <c r="M132" s="101" t="str">
        <f t="shared" si="55"/>
        <v/>
      </c>
      <c r="O132" s="100" t="str">
        <f t="shared" si="48"/>
        <v/>
      </c>
      <c r="P132" s="119" t="str">
        <f>IF('Temperature in bundle'!$P$4="Current = 1A per pair",2,IF($A132="","",('Temperature in bundle'!$Q$6-('Temperature in bundle'!$Q$6^2-4*(O132+Q$7)*'Temperature in bundle'!$Q$7)^0.5)/2/(O132+Q$7)))</f>
        <v/>
      </c>
      <c r="Q132" s="98" t="str">
        <f t="shared" si="56"/>
        <v/>
      </c>
      <c r="R132" s="101" t="str">
        <f t="shared" si="57"/>
        <v/>
      </c>
      <c r="T132" s="100" t="str">
        <f t="shared" si="49"/>
        <v/>
      </c>
      <c r="U132" s="119" t="str">
        <f>IF('Temperature in bundle'!$P$4="Current = 1A per pair",2,IF($A132="","",('Temperature in bundle'!$Q$6-('Temperature in bundle'!$Q$6^2-4*(T132+V$7)*'Temperature in bundle'!$Q$7)^0.5)/2/(T132+V$7)))</f>
        <v/>
      </c>
      <c r="V132" s="98" t="str">
        <f t="shared" si="50"/>
        <v/>
      </c>
      <c r="W132" s="101" t="str">
        <f t="shared" si="58"/>
        <v/>
      </c>
      <c r="Y132" s="100" t="str">
        <f t="shared" si="51"/>
        <v/>
      </c>
      <c r="Z132" s="119" t="str">
        <f>IF('Temperature in bundle'!$P$4="Current = 1A per pair",2,IF($A132="","",('Temperature in bundle'!$Q$6-('Temperature in bundle'!$Q$6^2-4*(Y132+AA$7)*'Temperature in bundle'!$Q$7)^0.5)/2/(Y132+AA$7)))</f>
        <v/>
      </c>
      <c r="AA132" s="98" t="str">
        <f t="shared" si="52"/>
        <v/>
      </c>
      <c r="AB132" s="101" t="str">
        <f t="shared" si="59"/>
        <v/>
      </c>
    </row>
    <row r="133" spans="1:28">
      <c r="A133" t="str">
        <f t="shared" si="60"/>
        <v/>
      </c>
      <c r="B133" s="113">
        <v>-4</v>
      </c>
      <c r="C133" s="113">
        <f>(SQRT(3)/2)*-2</f>
        <v>-1.7320508075688772</v>
      </c>
      <c r="D133" s="113">
        <f t="shared" si="62"/>
        <v>4.358898943540674</v>
      </c>
      <c r="E133" s="113" t="str">
        <f t="shared" si="53"/>
        <v/>
      </c>
      <c r="F133" s="113" t="str">
        <f t="shared" si="53"/>
        <v/>
      </c>
      <c r="G133" s="113" t="str">
        <f t="shared" si="61"/>
        <v/>
      </c>
      <c r="J133" s="116" t="str">
        <f t="shared" si="54"/>
        <v/>
      </c>
      <c r="K133" s="119" t="str">
        <f t="shared" si="46"/>
        <v/>
      </c>
      <c r="L133" s="98" t="str">
        <f t="shared" si="47"/>
        <v/>
      </c>
      <c r="M133" s="101" t="str">
        <f t="shared" si="55"/>
        <v/>
      </c>
      <c r="O133" s="100" t="str">
        <f t="shared" si="48"/>
        <v/>
      </c>
      <c r="P133" s="119" t="str">
        <f>IF('Temperature in bundle'!$P$4="Current = 1A per pair",2,IF($A133="","",('Temperature in bundle'!$Q$6-('Temperature in bundle'!$Q$6^2-4*(O133+Q$7)*'Temperature in bundle'!$Q$7)^0.5)/2/(O133+Q$7)))</f>
        <v/>
      </c>
      <c r="Q133" s="98" t="str">
        <f t="shared" si="56"/>
        <v/>
      </c>
      <c r="R133" s="101" t="str">
        <f t="shared" si="57"/>
        <v/>
      </c>
      <c r="T133" s="100" t="str">
        <f t="shared" si="49"/>
        <v/>
      </c>
      <c r="U133" s="119" t="str">
        <f>IF('Temperature in bundle'!$P$4="Current = 1A per pair",2,IF($A133="","",('Temperature in bundle'!$Q$6-('Temperature in bundle'!$Q$6^2-4*(T133+V$7)*'Temperature in bundle'!$Q$7)^0.5)/2/(T133+V$7)))</f>
        <v/>
      </c>
      <c r="V133" s="98" t="str">
        <f t="shared" si="50"/>
        <v/>
      </c>
      <c r="W133" s="101" t="str">
        <f t="shared" si="58"/>
        <v/>
      </c>
      <c r="Y133" s="100" t="str">
        <f t="shared" si="51"/>
        <v/>
      </c>
      <c r="Z133" s="119" t="str">
        <f>IF('Temperature in bundle'!$P$4="Current = 1A per pair",2,IF($A133="","",('Temperature in bundle'!$Q$6-('Temperature in bundle'!$Q$6^2-4*(Y133+AA$7)*'Temperature in bundle'!$Q$7)^0.5)/2/(Y133+AA$7)))</f>
        <v/>
      </c>
      <c r="AA133" s="98" t="str">
        <f t="shared" si="52"/>
        <v/>
      </c>
      <c r="AB133" s="101" t="str">
        <f t="shared" si="59"/>
        <v/>
      </c>
    </row>
    <row r="134" spans="1:28">
      <c r="A134" t="str">
        <f t="shared" si="60"/>
        <v/>
      </c>
      <c r="B134" s="113">
        <v>-3.5</v>
      </c>
      <c r="C134" s="113">
        <f>(SQRT(3)/2)*-3</f>
        <v>-2.598076211353316</v>
      </c>
      <c r="D134" s="113">
        <f t="shared" si="62"/>
        <v>4.358898943540674</v>
      </c>
      <c r="E134" s="113" t="str">
        <f t="shared" si="53"/>
        <v/>
      </c>
      <c r="F134" s="113" t="str">
        <f t="shared" si="53"/>
        <v/>
      </c>
      <c r="G134" s="113" t="str">
        <f t="shared" si="61"/>
        <v/>
      </c>
      <c r="J134" s="116" t="str">
        <f t="shared" si="54"/>
        <v/>
      </c>
      <c r="K134" s="119" t="str">
        <f t="shared" si="46"/>
        <v/>
      </c>
      <c r="L134" s="98" t="str">
        <f t="shared" si="47"/>
        <v/>
      </c>
      <c r="M134" s="101" t="str">
        <f t="shared" si="55"/>
        <v/>
      </c>
      <c r="O134" s="100" t="str">
        <f t="shared" si="48"/>
        <v/>
      </c>
      <c r="P134" s="119" t="str">
        <f>IF('Temperature in bundle'!$P$4="Current = 1A per pair",2,IF($A134="","",('Temperature in bundle'!$Q$6-('Temperature in bundle'!$Q$6^2-4*(O134+Q$7)*'Temperature in bundle'!$Q$7)^0.5)/2/(O134+Q$7)))</f>
        <v/>
      </c>
      <c r="Q134" s="98" t="str">
        <f t="shared" si="56"/>
        <v/>
      </c>
      <c r="R134" s="101" t="str">
        <f t="shared" si="57"/>
        <v/>
      </c>
      <c r="T134" s="100" t="str">
        <f t="shared" si="49"/>
        <v/>
      </c>
      <c r="U134" s="119" t="str">
        <f>IF('Temperature in bundle'!$P$4="Current = 1A per pair",2,IF($A134="","",('Temperature in bundle'!$Q$6-('Temperature in bundle'!$Q$6^2-4*(T134+V$7)*'Temperature in bundle'!$Q$7)^0.5)/2/(T134+V$7)))</f>
        <v/>
      </c>
      <c r="V134" s="98" t="str">
        <f t="shared" si="50"/>
        <v/>
      </c>
      <c r="W134" s="101" t="str">
        <f t="shared" si="58"/>
        <v/>
      </c>
      <c r="Y134" s="100" t="str">
        <f t="shared" si="51"/>
        <v/>
      </c>
      <c r="Z134" s="119" t="str">
        <f>IF('Temperature in bundle'!$P$4="Current = 1A per pair",2,IF($A134="","",('Temperature in bundle'!$Q$6-('Temperature in bundle'!$Q$6^2-4*(Y134+AA$7)*'Temperature in bundle'!$Q$7)^0.5)/2/(Y134+AA$7)))</f>
        <v/>
      </c>
      <c r="AA134" s="98" t="str">
        <f t="shared" si="52"/>
        <v/>
      </c>
      <c r="AB134" s="101" t="str">
        <f t="shared" si="59"/>
        <v/>
      </c>
    </row>
    <row r="135" spans="1:28">
      <c r="A135" t="str">
        <f t="shared" si="60"/>
        <v/>
      </c>
      <c r="B135" s="113">
        <v>-3</v>
      </c>
      <c r="C135" s="113">
        <f>(SQRT(3)/2)*-4</f>
        <v>-3.4641016151377544</v>
      </c>
      <c r="D135" s="113">
        <f t="shared" si="62"/>
        <v>4.5825756949558398</v>
      </c>
      <c r="E135" s="113" t="str">
        <f t="shared" si="53"/>
        <v/>
      </c>
      <c r="F135" s="113" t="str">
        <f t="shared" si="53"/>
        <v/>
      </c>
      <c r="G135" s="113" t="str">
        <f t="shared" si="61"/>
        <v/>
      </c>
      <c r="J135" s="116" t="str">
        <f t="shared" si="54"/>
        <v/>
      </c>
      <c r="K135" s="119" t="str">
        <f t="shared" si="46"/>
        <v/>
      </c>
      <c r="L135" s="98" t="str">
        <f t="shared" si="47"/>
        <v/>
      </c>
      <c r="M135" s="101" t="str">
        <f t="shared" si="55"/>
        <v/>
      </c>
      <c r="O135" s="100" t="str">
        <f t="shared" si="48"/>
        <v/>
      </c>
      <c r="P135" s="119" t="str">
        <f>IF('Temperature in bundle'!$P$4="Current = 1A per pair",2,IF($A135="","",('Temperature in bundle'!$Q$6-('Temperature in bundle'!$Q$6^2-4*(O135+Q$7)*'Temperature in bundle'!$Q$7)^0.5)/2/(O135+Q$7)))</f>
        <v/>
      </c>
      <c r="Q135" s="98" t="str">
        <f t="shared" si="56"/>
        <v/>
      </c>
      <c r="R135" s="101" t="str">
        <f t="shared" si="57"/>
        <v/>
      </c>
      <c r="T135" s="100" t="str">
        <f t="shared" si="49"/>
        <v/>
      </c>
      <c r="U135" s="119" t="str">
        <f>IF('Temperature in bundle'!$P$4="Current = 1A per pair",2,IF($A135="","",('Temperature in bundle'!$Q$6-('Temperature in bundle'!$Q$6^2-4*(T135+V$7)*'Temperature in bundle'!$Q$7)^0.5)/2/(T135+V$7)))</f>
        <v/>
      </c>
      <c r="V135" s="98" t="str">
        <f t="shared" si="50"/>
        <v/>
      </c>
      <c r="W135" s="101" t="str">
        <f t="shared" si="58"/>
        <v/>
      </c>
      <c r="Y135" s="100" t="str">
        <f t="shared" si="51"/>
        <v/>
      </c>
      <c r="Z135" s="119" t="str">
        <f>IF('Temperature in bundle'!$P$4="Current = 1A per pair",2,IF($A135="","",('Temperature in bundle'!$Q$6-('Temperature in bundle'!$Q$6^2-4*(Y135+AA$7)*'Temperature in bundle'!$Q$7)^0.5)/2/(Y135+AA$7)))</f>
        <v/>
      </c>
      <c r="AA135" s="98" t="str">
        <f t="shared" si="52"/>
        <v/>
      </c>
      <c r="AB135" s="101" t="str">
        <f t="shared" si="59"/>
        <v/>
      </c>
    </row>
    <row r="136" spans="1:28">
      <c r="A136" t="str">
        <f t="shared" si="60"/>
        <v/>
      </c>
      <c r="B136" s="113">
        <v>-2.5</v>
      </c>
      <c r="C136" s="113">
        <f>(SQRT(3)/2)*-5</f>
        <v>-4.3301270189221928</v>
      </c>
      <c r="D136" s="113">
        <f t="shared" si="62"/>
        <v>5</v>
      </c>
      <c r="E136" s="113" t="str">
        <f t="shared" si="53"/>
        <v/>
      </c>
      <c r="F136" s="113" t="str">
        <f t="shared" si="53"/>
        <v/>
      </c>
      <c r="G136" s="113" t="str">
        <f t="shared" si="61"/>
        <v/>
      </c>
      <c r="J136" s="116" t="str">
        <f t="shared" si="54"/>
        <v/>
      </c>
      <c r="K136" s="119" t="str">
        <f t="shared" si="46"/>
        <v/>
      </c>
      <c r="L136" s="98" t="str">
        <f t="shared" si="47"/>
        <v/>
      </c>
      <c r="M136" s="101" t="str">
        <f t="shared" si="55"/>
        <v/>
      </c>
      <c r="O136" s="100" t="str">
        <f t="shared" si="48"/>
        <v/>
      </c>
      <c r="P136" s="119" t="str">
        <f>IF('Temperature in bundle'!$P$4="Current = 1A per pair",2,IF($A136="","",('Temperature in bundle'!$Q$6-('Temperature in bundle'!$Q$6^2-4*(O136+Q$7)*'Temperature in bundle'!$Q$7)^0.5)/2/(O136+Q$7)))</f>
        <v/>
      </c>
      <c r="Q136" s="98" t="str">
        <f t="shared" si="56"/>
        <v/>
      </c>
      <c r="R136" s="101" t="str">
        <f t="shared" si="57"/>
        <v/>
      </c>
      <c r="T136" s="100" t="str">
        <f t="shared" si="49"/>
        <v/>
      </c>
      <c r="U136" s="119" t="str">
        <f>IF('Temperature in bundle'!$P$4="Current = 1A per pair",2,IF($A136="","",('Temperature in bundle'!$Q$6-('Temperature in bundle'!$Q$6^2-4*(T136+V$7)*'Temperature in bundle'!$Q$7)^0.5)/2/(T136+V$7)))</f>
        <v/>
      </c>
      <c r="V136" s="98" t="str">
        <f t="shared" si="50"/>
        <v/>
      </c>
      <c r="W136" s="101" t="str">
        <f t="shared" si="58"/>
        <v/>
      </c>
      <c r="Y136" s="100" t="str">
        <f t="shared" si="51"/>
        <v/>
      </c>
      <c r="Z136" s="119" t="str">
        <f>IF('Temperature in bundle'!$P$4="Current = 1A per pair",2,IF($A136="","",('Temperature in bundle'!$Q$6-('Temperature in bundle'!$Q$6^2-4*(Y136+AA$7)*'Temperature in bundle'!$Q$7)^0.5)/2/(Y136+AA$7)))</f>
        <v/>
      </c>
      <c r="AA136" s="98" t="str">
        <f t="shared" si="52"/>
        <v/>
      </c>
      <c r="AB136" s="101" t="str">
        <f t="shared" si="59"/>
        <v/>
      </c>
    </row>
    <row r="137" spans="1:28">
      <c r="A137" t="str">
        <f t="shared" si="60"/>
        <v/>
      </c>
      <c r="B137" s="113">
        <v>-1.5</v>
      </c>
      <c r="C137" s="113">
        <f t="shared" ref="C137:C142" si="65">(SQRT(3)/2)*-5</f>
        <v>-4.3301270189221928</v>
      </c>
      <c r="D137" s="113">
        <f t="shared" si="62"/>
        <v>4.5825756949558398</v>
      </c>
      <c r="E137" s="113" t="str">
        <f t="shared" si="53"/>
        <v/>
      </c>
      <c r="F137" s="113" t="str">
        <f t="shared" si="53"/>
        <v/>
      </c>
      <c r="G137" s="113" t="str">
        <f t="shared" si="61"/>
        <v/>
      </c>
      <c r="J137" s="116" t="str">
        <f t="shared" si="54"/>
        <v/>
      </c>
      <c r="K137" s="119" t="str">
        <f t="shared" si="46"/>
        <v/>
      </c>
      <c r="L137" s="98" t="str">
        <f t="shared" si="47"/>
        <v/>
      </c>
      <c r="M137" s="101" t="str">
        <f t="shared" si="55"/>
        <v/>
      </c>
      <c r="O137" s="100" t="str">
        <f t="shared" si="48"/>
        <v/>
      </c>
      <c r="P137" s="119" t="str">
        <f>IF('Temperature in bundle'!$P$4="Current = 1A per pair",2,IF($A137="","",('Temperature in bundle'!$Q$6-('Temperature in bundle'!$Q$6^2-4*(O137+Q$7)*'Temperature in bundle'!$Q$7)^0.5)/2/(O137+Q$7)))</f>
        <v/>
      </c>
      <c r="Q137" s="98" t="str">
        <f t="shared" si="56"/>
        <v/>
      </c>
      <c r="R137" s="101" t="str">
        <f t="shared" si="57"/>
        <v/>
      </c>
      <c r="T137" s="100" t="str">
        <f t="shared" si="49"/>
        <v/>
      </c>
      <c r="U137" s="119" t="str">
        <f>IF('Temperature in bundle'!$P$4="Current = 1A per pair",2,IF($A137="","",('Temperature in bundle'!$Q$6-('Temperature in bundle'!$Q$6^2-4*(T137+V$7)*'Temperature in bundle'!$Q$7)^0.5)/2/(T137+V$7)))</f>
        <v/>
      </c>
      <c r="V137" s="98" t="str">
        <f t="shared" si="50"/>
        <v/>
      </c>
      <c r="W137" s="101" t="str">
        <f t="shared" si="58"/>
        <v/>
      </c>
      <c r="Y137" s="100" t="str">
        <f t="shared" si="51"/>
        <v/>
      </c>
      <c r="Z137" s="119" t="str">
        <f>IF('Temperature in bundle'!$P$4="Current = 1A per pair",2,IF($A137="","",('Temperature in bundle'!$Q$6-('Temperature in bundle'!$Q$6^2-4*(Y137+AA$7)*'Temperature in bundle'!$Q$7)^0.5)/2/(Y137+AA$7)))</f>
        <v/>
      </c>
      <c r="AA137" s="98" t="str">
        <f t="shared" si="52"/>
        <v/>
      </c>
      <c r="AB137" s="101" t="str">
        <f t="shared" si="59"/>
        <v/>
      </c>
    </row>
    <row r="138" spans="1:28">
      <c r="A138" t="str">
        <f t="shared" si="60"/>
        <v/>
      </c>
      <c r="B138" s="113">
        <v>-0.5</v>
      </c>
      <c r="C138" s="113">
        <f t="shared" si="65"/>
        <v>-4.3301270189221928</v>
      </c>
      <c r="D138" s="113">
        <f t="shared" si="62"/>
        <v>4.3588989435406731</v>
      </c>
      <c r="E138" s="113" t="str">
        <f t="shared" si="53"/>
        <v/>
      </c>
      <c r="F138" s="113" t="str">
        <f t="shared" si="53"/>
        <v/>
      </c>
      <c r="G138" s="113" t="str">
        <f t="shared" si="61"/>
        <v/>
      </c>
      <c r="J138" s="116" t="str">
        <f t="shared" si="54"/>
        <v/>
      </c>
      <c r="K138" s="119" t="str">
        <f t="shared" si="46"/>
        <v/>
      </c>
      <c r="L138" s="98" t="str">
        <f t="shared" si="47"/>
        <v/>
      </c>
      <c r="M138" s="101" t="str">
        <f t="shared" si="55"/>
        <v/>
      </c>
      <c r="O138" s="100" t="str">
        <f t="shared" si="48"/>
        <v/>
      </c>
      <c r="P138" s="119" t="str">
        <f>IF('Temperature in bundle'!$P$4="Current = 1A per pair",2,IF($A138="","",('Temperature in bundle'!$Q$6-('Temperature in bundle'!$Q$6^2-4*(O138+Q$7)*'Temperature in bundle'!$Q$7)^0.5)/2/(O138+Q$7)))</f>
        <v/>
      </c>
      <c r="Q138" s="98" t="str">
        <f t="shared" si="56"/>
        <v/>
      </c>
      <c r="R138" s="101" t="str">
        <f t="shared" si="57"/>
        <v/>
      </c>
      <c r="T138" s="100" t="str">
        <f t="shared" si="49"/>
        <v/>
      </c>
      <c r="U138" s="119" t="str">
        <f>IF('Temperature in bundle'!$P$4="Current = 1A per pair",2,IF($A138="","",('Temperature in bundle'!$Q$6-('Temperature in bundle'!$Q$6^2-4*(T138+V$7)*'Temperature in bundle'!$Q$7)^0.5)/2/(T138+V$7)))</f>
        <v/>
      </c>
      <c r="V138" s="98" t="str">
        <f t="shared" si="50"/>
        <v/>
      </c>
      <c r="W138" s="101" t="str">
        <f t="shared" si="58"/>
        <v/>
      </c>
      <c r="Y138" s="100" t="str">
        <f t="shared" si="51"/>
        <v/>
      </c>
      <c r="Z138" s="119" t="str">
        <f>IF('Temperature in bundle'!$P$4="Current = 1A per pair",2,IF($A138="","",('Temperature in bundle'!$Q$6-('Temperature in bundle'!$Q$6^2-4*(Y138+AA$7)*'Temperature in bundle'!$Q$7)^0.5)/2/(Y138+AA$7)))</f>
        <v/>
      </c>
      <c r="AA138" s="98" t="str">
        <f t="shared" si="52"/>
        <v/>
      </c>
      <c r="AB138" s="101" t="str">
        <f t="shared" si="59"/>
        <v/>
      </c>
    </row>
    <row r="139" spans="1:28">
      <c r="A139" t="str">
        <f t="shared" si="60"/>
        <v/>
      </c>
      <c r="B139" s="113">
        <v>0.5</v>
      </c>
      <c r="C139" s="113">
        <f t="shared" si="65"/>
        <v>-4.3301270189221928</v>
      </c>
      <c r="D139" s="113">
        <f t="shared" si="62"/>
        <v>4.3588989435406731</v>
      </c>
      <c r="E139" s="113" t="str">
        <f t="shared" si="53"/>
        <v/>
      </c>
      <c r="F139" s="113" t="str">
        <f t="shared" si="53"/>
        <v/>
      </c>
      <c r="G139" s="113" t="str">
        <f t="shared" si="61"/>
        <v/>
      </c>
      <c r="J139" s="116" t="str">
        <f t="shared" si="54"/>
        <v/>
      </c>
      <c r="K139" s="119" t="str">
        <f t="shared" si="46"/>
        <v/>
      </c>
      <c r="L139" s="98" t="str">
        <f t="shared" si="47"/>
        <v/>
      </c>
      <c r="M139" s="101" t="str">
        <f t="shared" si="55"/>
        <v/>
      </c>
      <c r="O139" s="100" t="str">
        <f t="shared" si="48"/>
        <v/>
      </c>
      <c r="P139" s="119" t="str">
        <f>IF('Temperature in bundle'!$P$4="Current = 1A per pair",2,IF($A139="","",('Temperature in bundle'!$Q$6-('Temperature in bundle'!$Q$6^2-4*(O139+Q$7)*'Temperature in bundle'!$Q$7)^0.5)/2/(O139+Q$7)))</f>
        <v/>
      </c>
      <c r="Q139" s="98" t="str">
        <f t="shared" si="56"/>
        <v/>
      </c>
      <c r="R139" s="101" t="str">
        <f t="shared" si="57"/>
        <v/>
      </c>
      <c r="T139" s="100" t="str">
        <f t="shared" si="49"/>
        <v/>
      </c>
      <c r="U139" s="119" t="str">
        <f>IF('Temperature in bundle'!$P$4="Current = 1A per pair",2,IF($A139="","",('Temperature in bundle'!$Q$6-('Temperature in bundle'!$Q$6^2-4*(T139+V$7)*'Temperature in bundle'!$Q$7)^0.5)/2/(T139+V$7)))</f>
        <v/>
      </c>
      <c r="V139" s="98" t="str">
        <f t="shared" si="50"/>
        <v/>
      </c>
      <c r="W139" s="101" t="str">
        <f t="shared" si="58"/>
        <v/>
      </c>
      <c r="Y139" s="100" t="str">
        <f t="shared" si="51"/>
        <v/>
      </c>
      <c r="Z139" s="119" t="str">
        <f>IF('Temperature in bundle'!$P$4="Current = 1A per pair",2,IF($A139="","",('Temperature in bundle'!$Q$6-('Temperature in bundle'!$Q$6^2-4*(Y139+AA$7)*'Temperature in bundle'!$Q$7)^0.5)/2/(Y139+AA$7)))</f>
        <v/>
      </c>
      <c r="AA139" s="98" t="str">
        <f t="shared" si="52"/>
        <v/>
      </c>
      <c r="AB139" s="101" t="str">
        <f t="shared" si="59"/>
        <v/>
      </c>
    </row>
    <row r="140" spans="1:28">
      <c r="A140" t="str">
        <f t="shared" si="60"/>
        <v/>
      </c>
      <c r="B140" s="113">
        <v>1.5</v>
      </c>
      <c r="C140" s="113">
        <f t="shared" si="65"/>
        <v>-4.3301270189221928</v>
      </c>
      <c r="D140" s="113">
        <f t="shared" si="62"/>
        <v>4.5825756949558398</v>
      </c>
      <c r="E140" s="113" t="str">
        <f t="shared" si="53"/>
        <v/>
      </c>
      <c r="F140" s="113" t="str">
        <f t="shared" si="53"/>
        <v/>
      </c>
      <c r="G140" s="113" t="str">
        <f t="shared" si="61"/>
        <v/>
      </c>
      <c r="J140" s="116" t="str">
        <f t="shared" si="54"/>
        <v/>
      </c>
      <c r="K140" s="119" t="str">
        <f t="shared" si="46"/>
        <v/>
      </c>
      <c r="L140" s="98" t="str">
        <f t="shared" si="47"/>
        <v/>
      </c>
      <c r="M140" s="101" t="str">
        <f t="shared" si="55"/>
        <v/>
      </c>
      <c r="O140" s="100" t="str">
        <f t="shared" si="48"/>
        <v/>
      </c>
      <c r="P140" s="119" t="str">
        <f>IF('Temperature in bundle'!$P$4="Current = 1A per pair",2,IF($A140="","",('Temperature in bundle'!$Q$6-('Temperature in bundle'!$Q$6^2-4*(O140+Q$7)*'Temperature in bundle'!$Q$7)^0.5)/2/(O140+Q$7)))</f>
        <v/>
      </c>
      <c r="Q140" s="98" t="str">
        <f t="shared" si="56"/>
        <v/>
      </c>
      <c r="R140" s="101" t="str">
        <f t="shared" si="57"/>
        <v/>
      </c>
      <c r="T140" s="100" t="str">
        <f t="shared" si="49"/>
        <v/>
      </c>
      <c r="U140" s="119" t="str">
        <f>IF('Temperature in bundle'!$P$4="Current = 1A per pair",2,IF($A140="","",('Temperature in bundle'!$Q$6-('Temperature in bundle'!$Q$6^2-4*(T140+V$7)*'Temperature in bundle'!$Q$7)^0.5)/2/(T140+V$7)))</f>
        <v/>
      </c>
      <c r="V140" s="98" t="str">
        <f t="shared" si="50"/>
        <v/>
      </c>
      <c r="W140" s="101" t="str">
        <f t="shared" si="58"/>
        <v/>
      </c>
      <c r="Y140" s="100" t="str">
        <f t="shared" si="51"/>
        <v/>
      </c>
      <c r="Z140" s="119" t="str">
        <f>IF('Temperature in bundle'!$P$4="Current = 1A per pair",2,IF($A140="","",('Temperature in bundle'!$Q$6-('Temperature in bundle'!$Q$6^2-4*(Y140+AA$7)*'Temperature in bundle'!$Q$7)^0.5)/2/(Y140+AA$7)))</f>
        <v/>
      </c>
      <c r="AA140" s="98" t="str">
        <f t="shared" si="52"/>
        <v/>
      </c>
      <c r="AB140" s="101" t="str">
        <f t="shared" si="59"/>
        <v/>
      </c>
    </row>
    <row r="141" spans="1:28">
      <c r="A141" t="str">
        <f t="shared" si="60"/>
        <v/>
      </c>
      <c r="B141" s="113">
        <v>2.5</v>
      </c>
      <c r="C141" s="113">
        <f t="shared" si="65"/>
        <v>-4.3301270189221928</v>
      </c>
      <c r="D141" s="113">
        <f t="shared" si="62"/>
        <v>5</v>
      </c>
      <c r="E141" s="113" t="str">
        <f t="shared" si="53"/>
        <v/>
      </c>
      <c r="F141" s="113" t="str">
        <f t="shared" si="53"/>
        <v/>
      </c>
      <c r="G141" s="113" t="str">
        <f t="shared" si="61"/>
        <v/>
      </c>
      <c r="J141" s="116" t="str">
        <f t="shared" si="54"/>
        <v/>
      </c>
      <c r="K141" s="119" t="str">
        <f t="shared" si="46"/>
        <v/>
      </c>
      <c r="L141" s="98" t="str">
        <f t="shared" si="47"/>
        <v/>
      </c>
      <c r="M141" s="101" t="str">
        <f t="shared" si="55"/>
        <v/>
      </c>
      <c r="O141" s="100" t="str">
        <f t="shared" si="48"/>
        <v/>
      </c>
      <c r="P141" s="119" t="str">
        <f>IF('Temperature in bundle'!$P$4="Current = 1A per pair",2,IF($A141="","",('Temperature in bundle'!$Q$6-('Temperature in bundle'!$Q$6^2-4*(O141+Q$7)*'Temperature in bundle'!$Q$7)^0.5)/2/(O141+Q$7)))</f>
        <v/>
      </c>
      <c r="Q141" s="98" t="str">
        <f t="shared" si="56"/>
        <v/>
      </c>
      <c r="R141" s="101" t="str">
        <f t="shared" si="57"/>
        <v/>
      </c>
      <c r="T141" s="100" t="str">
        <f t="shared" si="49"/>
        <v/>
      </c>
      <c r="U141" s="119" t="str">
        <f>IF('Temperature in bundle'!$P$4="Current = 1A per pair",2,IF($A141="","",('Temperature in bundle'!$Q$6-('Temperature in bundle'!$Q$6^2-4*(T141+V$7)*'Temperature in bundle'!$Q$7)^0.5)/2/(T141+V$7)))</f>
        <v/>
      </c>
      <c r="V141" s="98" t="str">
        <f t="shared" si="50"/>
        <v/>
      </c>
      <c r="W141" s="101" t="str">
        <f t="shared" si="58"/>
        <v/>
      </c>
      <c r="Y141" s="100" t="str">
        <f t="shared" si="51"/>
        <v/>
      </c>
      <c r="Z141" s="119" t="str">
        <f>IF('Temperature in bundle'!$P$4="Current = 1A per pair",2,IF($A141="","",('Temperature in bundle'!$Q$6-('Temperature in bundle'!$Q$6^2-4*(Y141+AA$7)*'Temperature in bundle'!$Q$7)^0.5)/2/(Y141+AA$7)))</f>
        <v/>
      </c>
      <c r="AA141" s="98" t="str">
        <f t="shared" si="52"/>
        <v/>
      </c>
      <c r="AB141" s="101" t="str">
        <f t="shared" si="59"/>
        <v/>
      </c>
    </row>
    <row r="142" spans="1:28">
      <c r="A142" t="str">
        <f t="shared" si="60"/>
        <v/>
      </c>
      <c r="B142" s="113">
        <v>3.5</v>
      </c>
      <c r="C142" s="113">
        <f t="shared" si="65"/>
        <v>-4.3301270189221928</v>
      </c>
      <c r="D142" s="113">
        <f t="shared" si="62"/>
        <v>5.5677643628300215</v>
      </c>
      <c r="E142" s="113" t="str">
        <f t="shared" si="53"/>
        <v/>
      </c>
      <c r="F142" s="113" t="str">
        <f t="shared" si="53"/>
        <v/>
      </c>
      <c r="G142" s="113" t="str">
        <f t="shared" si="61"/>
        <v/>
      </c>
      <c r="J142" s="116" t="str">
        <f t="shared" si="54"/>
        <v/>
      </c>
      <c r="K142" s="119" t="str">
        <f t="shared" si="46"/>
        <v/>
      </c>
      <c r="L142" s="98" t="str">
        <f t="shared" si="47"/>
        <v/>
      </c>
      <c r="M142" s="101" t="str">
        <f t="shared" si="55"/>
        <v/>
      </c>
      <c r="O142" s="100" t="str">
        <f t="shared" si="48"/>
        <v/>
      </c>
      <c r="P142" s="119" t="str">
        <f>IF('Temperature in bundle'!$P$4="Current = 1A per pair",2,IF($A142="","",('Temperature in bundle'!$Q$6-('Temperature in bundle'!$Q$6^2-4*(O142+Q$7)*'Temperature in bundle'!$Q$7)^0.5)/2/(O142+Q$7)))</f>
        <v/>
      </c>
      <c r="Q142" s="98" t="str">
        <f t="shared" si="56"/>
        <v/>
      </c>
      <c r="R142" s="101" t="str">
        <f t="shared" si="57"/>
        <v/>
      </c>
      <c r="T142" s="100" t="str">
        <f t="shared" si="49"/>
        <v/>
      </c>
      <c r="U142" s="119" t="str">
        <f>IF('Temperature in bundle'!$P$4="Current = 1A per pair",2,IF($A142="","",('Temperature in bundle'!$Q$6-('Temperature in bundle'!$Q$6^2-4*(T142+V$7)*'Temperature in bundle'!$Q$7)^0.5)/2/(T142+V$7)))</f>
        <v/>
      </c>
      <c r="V142" s="98" t="str">
        <f t="shared" si="50"/>
        <v/>
      </c>
      <c r="W142" s="101" t="str">
        <f t="shared" si="58"/>
        <v/>
      </c>
      <c r="Y142" s="100" t="str">
        <f t="shared" si="51"/>
        <v/>
      </c>
      <c r="Z142" s="119" t="str">
        <f>IF('Temperature in bundle'!$P$4="Current = 1A per pair",2,IF($A142="","",('Temperature in bundle'!$Q$6-('Temperature in bundle'!$Q$6^2-4*(Y142+AA$7)*'Temperature in bundle'!$Q$7)^0.5)/2/(Y142+AA$7)))</f>
        <v/>
      </c>
      <c r="AA142" s="98" t="str">
        <f t="shared" si="52"/>
        <v/>
      </c>
      <c r="AB142" s="101" t="str">
        <f t="shared" si="59"/>
        <v/>
      </c>
    </row>
    <row r="143" spans="1:28">
      <c r="A143" t="str">
        <f t="shared" si="60"/>
        <v/>
      </c>
      <c r="B143" s="113">
        <v>4</v>
      </c>
      <c r="C143" s="113">
        <f>(SQRT(3)/2)*-4</f>
        <v>-3.4641016151377544</v>
      </c>
      <c r="D143" s="113">
        <f t="shared" si="62"/>
        <v>5.2915026221291814</v>
      </c>
      <c r="E143" s="113" t="str">
        <f t="shared" si="53"/>
        <v/>
      </c>
      <c r="F143" s="113" t="str">
        <f t="shared" si="53"/>
        <v/>
      </c>
      <c r="G143" s="113" t="str">
        <f t="shared" si="61"/>
        <v/>
      </c>
      <c r="J143" s="116" t="str">
        <f t="shared" si="54"/>
        <v/>
      </c>
      <c r="K143" s="119" t="str">
        <f t="shared" si="46"/>
        <v/>
      </c>
      <c r="L143" s="98" t="str">
        <f t="shared" si="47"/>
        <v/>
      </c>
      <c r="M143" s="101" t="str">
        <f t="shared" si="55"/>
        <v/>
      </c>
      <c r="O143" s="100" t="str">
        <f t="shared" si="48"/>
        <v/>
      </c>
      <c r="P143" s="119" t="str">
        <f>IF('Temperature in bundle'!$P$4="Current = 1A per pair",2,IF($A143="","",('Temperature in bundle'!$Q$6-('Temperature in bundle'!$Q$6^2-4*(O143+Q$7)*'Temperature in bundle'!$Q$7)^0.5)/2/(O143+Q$7)))</f>
        <v/>
      </c>
      <c r="Q143" s="98" t="str">
        <f t="shared" si="56"/>
        <v/>
      </c>
      <c r="R143" s="101" t="str">
        <f t="shared" si="57"/>
        <v/>
      </c>
      <c r="T143" s="100" t="str">
        <f t="shared" si="49"/>
        <v/>
      </c>
      <c r="U143" s="119" t="str">
        <f>IF('Temperature in bundle'!$P$4="Current = 1A per pair",2,IF($A143="","",('Temperature in bundle'!$Q$6-('Temperature in bundle'!$Q$6^2-4*(T143+V$7)*'Temperature in bundle'!$Q$7)^0.5)/2/(T143+V$7)))</f>
        <v/>
      </c>
      <c r="V143" s="98" t="str">
        <f t="shared" si="50"/>
        <v/>
      </c>
      <c r="W143" s="101" t="str">
        <f t="shared" si="58"/>
        <v/>
      </c>
      <c r="Y143" s="100" t="str">
        <f t="shared" si="51"/>
        <v/>
      </c>
      <c r="Z143" s="119" t="str">
        <f>IF('Temperature in bundle'!$P$4="Current = 1A per pair",2,IF($A143="","",('Temperature in bundle'!$Q$6-('Temperature in bundle'!$Q$6^2-4*(Y143+AA$7)*'Temperature in bundle'!$Q$7)^0.5)/2/(Y143+AA$7)))</f>
        <v/>
      </c>
      <c r="AA143" s="98" t="str">
        <f t="shared" si="52"/>
        <v/>
      </c>
      <c r="AB143" s="101" t="str">
        <f t="shared" si="59"/>
        <v/>
      </c>
    </row>
    <row r="144" spans="1:28">
      <c r="A144" t="str">
        <f t="shared" si="60"/>
        <v/>
      </c>
      <c r="B144" s="113">
        <v>4.5</v>
      </c>
      <c r="C144" s="113">
        <f>(SQRT(3)/2)*-3</f>
        <v>-2.598076211353316</v>
      </c>
      <c r="D144" s="113">
        <f t="shared" si="62"/>
        <v>5.196152422706632</v>
      </c>
      <c r="E144" s="113" t="str">
        <f t="shared" si="53"/>
        <v/>
      </c>
      <c r="F144" s="113" t="str">
        <f t="shared" si="53"/>
        <v/>
      </c>
      <c r="G144" s="113" t="str">
        <f t="shared" si="61"/>
        <v/>
      </c>
      <c r="J144" s="116" t="str">
        <f t="shared" si="54"/>
        <v/>
      </c>
      <c r="K144" s="119" t="str">
        <f t="shared" si="46"/>
        <v/>
      </c>
      <c r="L144" s="98" t="str">
        <f t="shared" si="47"/>
        <v/>
      </c>
      <c r="M144" s="101" t="str">
        <f t="shared" si="55"/>
        <v/>
      </c>
      <c r="O144" s="100" t="str">
        <f t="shared" si="48"/>
        <v/>
      </c>
      <c r="P144" s="119" t="str">
        <f>IF('Temperature in bundle'!$P$4="Current = 1A per pair",2,IF($A144="","",('Temperature in bundle'!$Q$6-('Temperature in bundle'!$Q$6^2-4*(O144+Q$7)*'Temperature in bundle'!$Q$7)^0.5)/2/(O144+Q$7)))</f>
        <v/>
      </c>
      <c r="Q144" s="98" t="str">
        <f t="shared" si="56"/>
        <v/>
      </c>
      <c r="R144" s="101" t="str">
        <f t="shared" si="57"/>
        <v/>
      </c>
      <c r="T144" s="100" t="str">
        <f t="shared" si="49"/>
        <v/>
      </c>
      <c r="U144" s="119" t="str">
        <f>IF('Temperature in bundle'!$P$4="Current = 1A per pair",2,IF($A144="","",('Temperature in bundle'!$Q$6-('Temperature in bundle'!$Q$6^2-4*(T144+V$7)*'Temperature in bundle'!$Q$7)^0.5)/2/(T144+V$7)))</f>
        <v/>
      </c>
      <c r="V144" s="98" t="str">
        <f t="shared" si="50"/>
        <v/>
      </c>
      <c r="W144" s="101" t="str">
        <f t="shared" si="58"/>
        <v/>
      </c>
      <c r="Y144" s="100" t="str">
        <f t="shared" si="51"/>
        <v/>
      </c>
      <c r="Z144" s="119" t="str">
        <f>IF('Temperature in bundle'!$P$4="Current = 1A per pair",2,IF($A144="","",('Temperature in bundle'!$Q$6-('Temperature in bundle'!$Q$6^2-4*(Y144+AA$7)*'Temperature in bundle'!$Q$7)^0.5)/2/(Y144+AA$7)))</f>
        <v/>
      </c>
      <c r="AA144" s="98" t="str">
        <f t="shared" si="52"/>
        <v/>
      </c>
      <c r="AB144" s="101" t="str">
        <f t="shared" si="59"/>
        <v/>
      </c>
    </row>
    <row r="145" spans="1:28">
      <c r="A145" t="str">
        <f t="shared" si="60"/>
        <v/>
      </c>
      <c r="B145" s="113">
        <v>5</v>
      </c>
      <c r="C145" s="113">
        <f>(SQRT(3)/2)*-2</f>
        <v>-1.7320508075688772</v>
      </c>
      <c r="D145" s="113">
        <f t="shared" si="62"/>
        <v>5.2915026221291814</v>
      </c>
      <c r="E145" s="113" t="str">
        <f t="shared" si="53"/>
        <v/>
      </c>
      <c r="F145" s="113" t="str">
        <f t="shared" si="53"/>
        <v/>
      </c>
      <c r="G145" s="113" t="str">
        <f t="shared" si="61"/>
        <v/>
      </c>
      <c r="J145" s="116" t="str">
        <f t="shared" si="54"/>
        <v/>
      </c>
      <c r="K145" s="119" t="str">
        <f t="shared" si="46"/>
        <v/>
      </c>
      <c r="L145" s="98" t="str">
        <f t="shared" si="47"/>
        <v/>
      </c>
      <c r="M145" s="101" t="str">
        <f t="shared" si="55"/>
        <v/>
      </c>
      <c r="O145" s="100" t="str">
        <f t="shared" si="48"/>
        <v/>
      </c>
      <c r="P145" s="119" t="str">
        <f>IF('Temperature in bundle'!$P$4="Current = 1A per pair",2,IF($A145="","",('Temperature in bundle'!$Q$6-('Temperature in bundle'!$Q$6^2-4*(O145+Q$7)*'Temperature in bundle'!$Q$7)^0.5)/2/(O145+Q$7)))</f>
        <v/>
      </c>
      <c r="Q145" s="98" t="str">
        <f t="shared" si="56"/>
        <v/>
      </c>
      <c r="R145" s="101" t="str">
        <f t="shared" si="57"/>
        <v/>
      </c>
      <c r="T145" s="100" t="str">
        <f t="shared" si="49"/>
        <v/>
      </c>
      <c r="U145" s="119" t="str">
        <f>IF('Temperature in bundle'!$P$4="Current = 1A per pair",2,IF($A145="","",('Temperature in bundle'!$Q$6-('Temperature in bundle'!$Q$6^2-4*(T145+V$7)*'Temperature in bundle'!$Q$7)^0.5)/2/(T145+V$7)))</f>
        <v/>
      </c>
      <c r="V145" s="98" t="str">
        <f t="shared" si="50"/>
        <v/>
      </c>
      <c r="W145" s="101" t="str">
        <f t="shared" si="58"/>
        <v/>
      </c>
      <c r="Y145" s="100" t="str">
        <f t="shared" si="51"/>
        <v/>
      </c>
      <c r="Z145" s="119" t="str">
        <f>IF('Temperature in bundle'!$P$4="Current = 1A per pair",2,IF($A145="","",('Temperature in bundle'!$Q$6-('Temperature in bundle'!$Q$6^2-4*(Y145+AA$7)*'Temperature in bundle'!$Q$7)^0.5)/2/(Y145+AA$7)))</f>
        <v/>
      </c>
      <c r="AA145" s="98" t="str">
        <f t="shared" si="52"/>
        <v/>
      </c>
      <c r="AB145" s="101" t="str">
        <f t="shared" si="59"/>
        <v/>
      </c>
    </row>
    <row r="146" spans="1:28">
      <c r="A146" t="str">
        <f t="shared" si="60"/>
        <v/>
      </c>
      <c r="B146" s="113">
        <v>5.5</v>
      </c>
      <c r="C146" s="113">
        <f>(SQRT(3)/2)*-1</f>
        <v>-0.8660254037844386</v>
      </c>
      <c r="D146" s="113">
        <f t="shared" si="62"/>
        <v>5.5677643628300215</v>
      </c>
      <c r="E146" s="113" t="str">
        <f t="shared" si="53"/>
        <v/>
      </c>
      <c r="F146" s="113" t="str">
        <f t="shared" si="53"/>
        <v/>
      </c>
      <c r="G146" s="113" t="str">
        <f t="shared" si="61"/>
        <v/>
      </c>
      <c r="J146" s="116" t="str">
        <f t="shared" si="54"/>
        <v/>
      </c>
      <c r="K146" s="119" t="str">
        <f t="shared" si="46"/>
        <v/>
      </c>
      <c r="L146" s="98" t="str">
        <f t="shared" si="47"/>
        <v/>
      </c>
      <c r="M146" s="101" t="str">
        <f t="shared" si="55"/>
        <v/>
      </c>
      <c r="O146" s="100" t="str">
        <f t="shared" si="48"/>
        <v/>
      </c>
      <c r="P146" s="119" t="str">
        <f>IF('Temperature in bundle'!$P$4="Current = 1A per pair",2,IF($A146="","",('Temperature in bundle'!$Q$6-('Temperature in bundle'!$Q$6^2-4*(O146+Q$7)*'Temperature in bundle'!$Q$7)^0.5)/2/(O146+Q$7)))</f>
        <v/>
      </c>
      <c r="Q146" s="98" t="str">
        <f t="shared" si="56"/>
        <v/>
      </c>
      <c r="R146" s="101" t="str">
        <f t="shared" si="57"/>
        <v/>
      </c>
      <c r="T146" s="100" t="str">
        <f t="shared" si="49"/>
        <v/>
      </c>
      <c r="U146" s="119" t="str">
        <f>IF('Temperature in bundle'!$P$4="Current = 1A per pair",2,IF($A146="","",('Temperature in bundle'!$Q$6-('Temperature in bundle'!$Q$6^2-4*(T146+V$7)*'Temperature in bundle'!$Q$7)^0.5)/2/(T146+V$7)))</f>
        <v/>
      </c>
      <c r="V146" s="98" t="str">
        <f t="shared" si="50"/>
        <v/>
      </c>
      <c r="W146" s="101" t="str">
        <f t="shared" si="58"/>
        <v/>
      </c>
      <c r="Y146" s="100" t="str">
        <f t="shared" si="51"/>
        <v/>
      </c>
      <c r="Z146" s="119" t="str">
        <f>IF('Temperature in bundle'!$P$4="Current = 1A per pair",2,IF($A146="","",('Temperature in bundle'!$Q$6-('Temperature in bundle'!$Q$6^2-4*(Y146+AA$7)*'Temperature in bundle'!$Q$7)^0.5)/2/(Y146+AA$7)))</f>
        <v/>
      </c>
      <c r="AA146" s="98" t="str">
        <f t="shared" si="52"/>
        <v/>
      </c>
      <c r="AB146" s="101" t="str">
        <f t="shared" si="59"/>
        <v/>
      </c>
    </row>
    <row r="147" spans="1:28">
      <c r="A147" t="str">
        <f t="shared" si="60"/>
        <v/>
      </c>
      <c r="B147" s="113">
        <v>6</v>
      </c>
      <c r="C147" s="113">
        <v>0</v>
      </c>
      <c r="D147" s="113">
        <f t="shared" si="62"/>
        <v>6</v>
      </c>
      <c r="E147" s="113" t="str">
        <f t="shared" si="53"/>
        <v/>
      </c>
      <c r="F147" s="113" t="str">
        <f t="shared" si="53"/>
        <v/>
      </c>
      <c r="G147" s="113" t="str">
        <f t="shared" si="61"/>
        <v/>
      </c>
      <c r="J147" s="116" t="str">
        <f t="shared" si="54"/>
        <v/>
      </c>
      <c r="K147" s="119" t="str">
        <f t="shared" si="46"/>
        <v/>
      </c>
      <c r="L147" s="98" t="str">
        <f t="shared" si="47"/>
        <v/>
      </c>
      <c r="M147" s="101" t="str">
        <f t="shared" si="55"/>
        <v/>
      </c>
      <c r="O147" s="100" t="str">
        <f t="shared" si="48"/>
        <v/>
      </c>
      <c r="P147" s="119" t="str">
        <f>IF('Temperature in bundle'!$P$4="Current = 1A per pair",2,IF($A147="","",('Temperature in bundle'!$Q$6-('Temperature in bundle'!$Q$6^2-4*(O147+Q$7)*'Temperature in bundle'!$Q$7)^0.5)/2/(O147+Q$7)))</f>
        <v/>
      </c>
      <c r="Q147" s="98" t="str">
        <f t="shared" si="56"/>
        <v/>
      </c>
      <c r="R147" s="101" t="str">
        <f t="shared" si="57"/>
        <v/>
      </c>
      <c r="T147" s="100" t="str">
        <f t="shared" si="49"/>
        <v/>
      </c>
      <c r="U147" s="119" t="str">
        <f>IF('Temperature in bundle'!$P$4="Current = 1A per pair",2,IF($A147="","",('Temperature in bundle'!$Q$6-('Temperature in bundle'!$Q$6^2-4*(T147+V$7)*'Temperature in bundle'!$Q$7)^0.5)/2/(T147+V$7)))</f>
        <v/>
      </c>
      <c r="V147" s="98" t="str">
        <f t="shared" si="50"/>
        <v/>
      </c>
      <c r="W147" s="101" t="str">
        <f t="shared" si="58"/>
        <v/>
      </c>
      <c r="Y147" s="100" t="str">
        <f t="shared" si="51"/>
        <v/>
      </c>
      <c r="Z147" s="119" t="str">
        <f>IF('Temperature in bundle'!$P$4="Current = 1A per pair",2,IF($A147="","",('Temperature in bundle'!$Q$6-('Temperature in bundle'!$Q$6^2-4*(Y147+AA$7)*'Temperature in bundle'!$Q$7)^0.5)/2/(Y147+AA$7)))</f>
        <v/>
      </c>
      <c r="AA147" s="98" t="str">
        <f t="shared" si="52"/>
        <v/>
      </c>
      <c r="AB147" s="101" t="str">
        <f t="shared" si="59"/>
        <v/>
      </c>
    </row>
    <row r="148" spans="1:28">
      <c r="A148" t="str">
        <f t="shared" si="60"/>
        <v/>
      </c>
      <c r="B148" s="113">
        <v>5.5</v>
      </c>
      <c r="C148" s="113">
        <f>SQRT(3)/2</f>
        <v>0.8660254037844386</v>
      </c>
      <c r="D148" s="113">
        <f t="shared" si="62"/>
        <v>5.5677643628300215</v>
      </c>
      <c r="E148" s="113" t="str">
        <f t="shared" si="53"/>
        <v/>
      </c>
      <c r="F148" s="113" t="str">
        <f t="shared" si="53"/>
        <v/>
      </c>
      <c r="G148" s="113" t="str">
        <f t="shared" si="61"/>
        <v/>
      </c>
      <c r="J148" s="116" t="str">
        <f t="shared" si="54"/>
        <v/>
      </c>
      <c r="K148" s="119" t="str">
        <f t="shared" si="46"/>
        <v/>
      </c>
      <c r="L148" s="98" t="str">
        <f t="shared" si="47"/>
        <v/>
      </c>
      <c r="M148" s="101" t="str">
        <f t="shared" si="55"/>
        <v/>
      </c>
      <c r="O148" s="100" t="str">
        <f t="shared" si="48"/>
        <v/>
      </c>
      <c r="P148" s="119" t="str">
        <f>IF('Temperature in bundle'!$P$4="Current = 1A per pair",2,IF($A148="","",('Temperature in bundle'!$Q$6-('Temperature in bundle'!$Q$6^2-4*(O148+Q$7)*'Temperature in bundle'!$Q$7)^0.5)/2/(O148+Q$7)))</f>
        <v/>
      </c>
      <c r="Q148" s="98" t="str">
        <f t="shared" si="56"/>
        <v/>
      </c>
      <c r="R148" s="101" t="str">
        <f t="shared" si="57"/>
        <v/>
      </c>
      <c r="T148" s="100" t="str">
        <f t="shared" si="49"/>
        <v/>
      </c>
      <c r="U148" s="119" t="str">
        <f>IF('Temperature in bundle'!$P$4="Current = 1A per pair",2,IF($A148="","",('Temperature in bundle'!$Q$6-('Temperature in bundle'!$Q$6^2-4*(T148+V$7)*'Temperature in bundle'!$Q$7)^0.5)/2/(T148+V$7)))</f>
        <v/>
      </c>
      <c r="V148" s="98" t="str">
        <f t="shared" si="50"/>
        <v/>
      </c>
      <c r="W148" s="101" t="str">
        <f t="shared" si="58"/>
        <v/>
      </c>
      <c r="Y148" s="100" t="str">
        <f t="shared" si="51"/>
        <v/>
      </c>
      <c r="Z148" s="119" t="str">
        <f>IF('Temperature in bundle'!$P$4="Current = 1A per pair",2,IF($A148="","",('Temperature in bundle'!$Q$6-('Temperature in bundle'!$Q$6^2-4*(Y148+AA$7)*'Temperature in bundle'!$Q$7)^0.5)/2/(Y148+AA$7)))</f>
        <v/>
      </c>
      <c r="AA148" s="98" t="str">
        <f t="shared" si="52"/>
        <v/>
      </c>
      <c r="AB148" s="101" t="str">
        <f t="shared" si="59"/>
        <v/>
      </c>
    </row>
    <row r="149" spans="1:28">
      <c r="A149" t="str">
        <f t="shared" si="60"/>
        <v/>
      </c>
      <c r="B149" s="113">
        <v>5</v>
      </c>
      <c r="C149" s="113">
        <f t="shared" ref="C149" si="66">SQRT(3)/2*2</f>
        <v>1.7320508075688772</v>
      </c>
      <c r="D149" s="113">
        <f t="shared" si="62"/>
        <v>5.2915026221291814</v>
      </c>
      <c r="E149" s="113" t="str">
        <f t="shared" si="53"/>
        <v/>
      </c>
      <c r="F149" s="113" t="str">
        <f t="shared" si="53"/>
        <v/>
      </c>
      <c r="G149" s="113" t="str">
        <f t="shared" si="61"/>
        <v/>
      </c>
      <c r="J149" s="116" t="str">
        <f t="shared" si="54"/>
        <v/>
      </c>
      <c r="K149" s="119" t="str">
        <f t="shared" si="46"/>
        <v/>
      </c>
      <c r="L149" s="98" t="str">
        <f t="shared" si="47"/>
        <v/>
      </c>
      <c r="M149" s="101" t="str">
        <f t="shared" si="55"/>
        <v/>
      </c>
      <c r="O149" s="100" t="str">
        <f t="shared" si="48"/>
        <v/>
      </c>
      <c r="P149" s="119" t="str">
        <f>IF('Temperature in bundle'!$P$4="Current = 1A per pair",2,IF($A149="","",('Temperature in bundle'!$Q$6-('Temperature in bundle'!$Q$6^2-4*(O149+Q$7)*'Temperature in bundle'!$Q$7)^0.5)/2/(O149+Q$7)))</f>
        <v/>
      </c>
      <c r="Q149" s="98" t="str">
        <f t="shared" si="56"/>
        <v/>
      </c>
      <c r="R149" s="101" t="str">
        <f t="shared" si="57"/>
        <v/>
      </c>
      <c r="T149" s="100" t="str">
        <f t="shared" si="49"/>
        <v/>
      </c>
      <c r="U149" s="119" t="str">
        <f>IF('Temperature in bundle'!$P$4="Current = 1A per pair",2,IF($A149="","",('Temperature in bundle'!$Q$6-('Temperature in bundle'!$Q$6^2-4*(T149+V$7)*'Temperature in bundle'!$Q$7)^0.5)/2/(T149+V$7)))</f>
        <v/>
      </c>
      <c r="V149" s="98" t="str">
        <f t="shared" si="50"/>
        <v/>
      </c>
      <c r="W149" s="101" t="str">
        <f t="shared" si="58"/>
        <v/>
      </c>
      <c r="Y149" s="100" t="str">
        <f t="shared" si="51"/>
        <v/>
      </c>
      <c r="Z149" s="119" t="str">
        <f>IF('Temperature in bundle'!$P$4="Current = 1A per pair",2,IF($A149="","",('Temperature in bundle'!$Q$6-('Temperature in bundle'!$Q$6^2-4*(Y149+AA$7)*'Temperature in bundle'!$Q$7)^0.5)/2/(Y149+AA$7)))</f>
        <v/>
      </c>
      <c r="AA149" s="98" t="str">
        <f t="shared" si="52"/>
        <v/>
      </c>
      <c r="AB149" s="101" t="str">
        <f t="shared" si="59"/>
        <v/>
      </c>
    </row>
    <row r="150" spans="1:28">
      <c r="A150" t="str">
        <f t="shared" si="60"/>
        <v/>
      </c>
      <c r="B150" s="113">
        <v>4.5</v>
      </c>
      <c r="C150" s="113">
        <f>SQRT(3)/2*3</f>
        <v>2.598076211353316</v>
      </c>
      <c r="D150" s="113">
        <f t="shared" si="62"/>
        <v>5.196152422706632</v>
      </c>
      <c r="E150" s="113" t="str">
        <f t="shared" si="53"/>
        <v/>
      </c>
      <c r="F150" s="113" t="str">
        <f t="shared" si="53"/>
        <v/>
      </c>
      <c r="G150" s="113" t="str">
        <f t="shared" si="61"/>
        <v/>
      </c>
      <c r="J150" s="116" t="str">
        <f t="shared" si="54"/>
        <v/>
      </c>
      <c r="K150" s="119" t="str">
        <f t="shared" si="46"/>
        <v/>
      </c>
      <c r="L150" s="98" t="str">
        <f t="shared" si="47"/>
        <v/>
      </c>
      <c r="M150" s="101" t="str">
        <f t="shared" si="55"/>
        <v/>
      </c>
      <c r="O150" s="100" t="str">
        <f t="shared" si="48"/>
        <v/>
      </c>
      <c r="P150" s="119" t="str">
        <f>IF('Temperature in bundle'!$P$4="Current = 1A per pair",2,IF($A150="","",('Temperature in bundle'!$Q$6-('Temperature in bundle'!$Q$6^2-4*(O150+Q$7)*'Temperature in bundle'!$Q$7)^0.5)/2/(O150+Q$7)))</f>
        <v/>
      </c>
      <c r="Q150" s="98" t="str">
        <f t="shared" si="56"/>
        <v/>
      </c>
      <c r="R150" s="101" t="str">
        <f t="shared" si="57"/>
        <v/>
      </c>
      <c r="T150" s="100" t="str">
        <f t="shared" si="49"/>
        <v/>
      </c>
      <c r="U150" s="119" t="str">
        <f>IF('Temperature in bundle'!$P$4="Current = 1A per pair",2,IF($A150="","",('Temperature in bundle'!$Q$6-('Temperature in bundle'!$Q$6^2-4*(T150+V$7)*'Temperature in bundle'!$Q$7)^0.5)/2/(T150+V$7)))</f>
        <v/>
      </c>
      <c r="V150" s="98" t="str">
        <f t="shared" si="50"/>
        <v/>
      </c>
      <c r="W150" s="101" t="str">
        <f t="shared" si="58"/>
        <v/>
      </c>
      <c r="Y150" s="100" t="str">
        <f t="shared" si="51"/>
        <v/>
      </c>
      <c r="Z150" s="119" t="str">
        <f>IF('Temperature in bundle'!$P$4="Current = 1A per pair",2,IF($A150="","",('Temperature in bundle'!$Q$6-('Temperature in bundle'!$Q$6^2-4*(Y150+AA$7)*'Temperature in bundle'!$Q$7)^0.5)/2/(Y150+AA$7)))</f>
        <v/>
      </c>
      <c r="AA150" s="98" t="str">
        <f t="shared" si="52"/>
        <v/>
      </c>
      <c r="AB150" s="101" t="str">
        <f t="shared" si="59"/>
        <v/>
      </c>
    </row>
    <row r="151" spans="1:28">
      <c r="A151" t="str">
        <f t="shared" si="60"/>
        <v/>
      </c>
      <c r="B151" s="113">
        <v>4</v>
      </c>
      <c r="C151" s="113">
        <f>SQRT(3)/2*4</f>
        <v>3.4641016151377544</v>
      </c>
      <c r="D151" s="113">
        <f t="shared" si="62"/>
        <v>5.2915026221291814</v>
      </c>
      <c r="E151" s="113" t="str">
        <f t="shared" si="53"/>
        <v/>
      </c>
      <c r="F151" s="113" t="str">
        <f t="shared" si="53"/>
        <v/>
      </c>
      <c r="G151" s="113" t="str">
        <f t="shared" si="61"/>
        <v/>
      </c>
      <c r="J151" s="116" t="str">
        <f t="shared" si="54"/>
        <v/>
      </c>
      <c r="K151" s="119" t="str">
        <f t="shared" si="46"/>
        <v/>
      </c>
      <c r="L151" s="98" t="str">
        <f t="shared" si="47"/>
        <v/>
      </c>
      <c r="M151" s="101" t="str">
        <f t="shared" si="55"/>
        <v/>
      </c>
      <c r="O151" s="100" t="str">
        <f t="shared" si="48"/>
        <v/>
      </c>
      <c r="P151" s="119" t="str">
        <f>IF('Temperature in bundle'!$P$4="Current = 1A per pair",2,IF($A151="","",('Temperature in bundle'!$Q$6-('Temperature in bundle'!$Q$6^2-4*(O151+Q$7)*'Temperature in bundle'!$Q$7)^0.5)/2/(O151+Q$7)))</f>
        <v/>
      </c>
      <c r="Q151" s="98" t="str">
        <f t="shared" si="56"/>
        <v/>
      </c>
      <c r="R151" s="101" t="str">
        <f t="shared" si="57"/>
        <v/>
      </c>
      <c r="T151" s="100" t="str">
        <f t="shared" si="49"/>
        <v/>
      </c>
      <c r="U151" s="119" t="str">
        <f>IF('Temperature in bundle'!$P$4="Current = 1A per pair",2,IF($A151="","",('Temperature in bundle'!$Q$6-('Temperature in bundle'!$Q$6^2-4*(T151+V$7)*'Temperature in bundle'!$Q$7)^0.5)/2/(T151+V$7)))</f>
        <v/>
      </c>
      <c r="V151" s="98" t="str">
        <f t="shared" si="50"/>
        <v/>
      </c>
      <c r="W151" s="101" t="str">
        <f t="shared" si="58"/>
        <v/>
      </c>
      <c r="Y151" s="100" t="str">
        <f t="shared" si="51"/>
        <v/>
      </c>
      <c r="Z151" s="119" t="str">
        <f>IF('Temperature in bundle'!$P$4="Current = 1A per pair",2,IF($A151="","",('Temperature in bundle'!$Q$6-('Temperature in bundle'!$Q$6^2-4*(Y151+AA$7)*'Temperature in bundle'!$Q$7)^0.5)/2/(Y151+AA$7)))</f>
        <v/>
      </c>
      <c r="AA151" s="98" t="str">
        <f t="shared" si="52"/>
        <v/>
      </c>
      <c r="AB151" s="101" t="str">
        <f t="shared" si="59"/>
        <v/>
      </c>
    </row>
    <row r="152" spans="1:28">
      <c r="A152" t="str">
        <f t="shared" si="60"/>
        <v/>
      </c>
      <c r="B152" s="113">
        <v>3.5</v>
      </c>
      <c r="C152" s="113">
        <f>SQRT(3)/2*5</f>
        <v>4.3301270189221928</v>
      </c>
      <c r="D152" s="113">
        <f t="shared" si="62"/>
        <v>5.5677643628300215</v>
      </c>
      <c r="E152" s="113" t="str">
        <f t="shared" si="53"/>
        <v/>
      </c>
      <c r="F152" s="113" t="str">
        <f t="shared" si="53"/>
        <v/>
      </c>
      <c r="G152" s="113" t="str">
        <f t="shared" si="61"/>
        <v/>
      </c>
      <c r="J152" s="116" t="str">
        <f t="shared" si="54"/>
        <v/>
      </c>
      <c r="K152" s="119" t="str">
        <f t="shared" si="46"/>
        <v/>
      </c>
      <c r="L152" s="98" t="str">
        <f t="shared" si="47"/>
        <v/>
      </c>
      <c r="M152" s="101" t="str">
        <f t="shared" si="55"/>
        <v/>
      </c>
      <c r="O152" s="100" t="str">
        <f t="shared" si="48"/>
        <v/>
      </c>
      <c r="P152" s="119" t="str">
        <f>IF('Temperature in bundle'!$P$4="Current = 1A per pair",2,IF($A152="","",('Temperature in bundle'!$Q$6-('Temperature in bundle'!$Q$6^2-4*(O152+Q$7)*'Temperature in bundle'!$Q$7)^0.5)/2/(O152+Q$7)))</f>
        <v/>
      </c>
      <c r="Q152" s="98" t="str">
        <f t="shared" si="56"/>
        <v/>
      </c>
      <c r="R152" s="101" t="str">
        <f t="shared" si="57"/>
        <v/>
      </c>
      <c r="T152" s="100" t="str">
        <f t="shared" si="49"/>
        <v/>
      </c>
      <c r="U152" s="119" t="str">
        <f>IF('Temperature in bundle'!$P$4="Current = 1A per pair",2,IF($A152="","",('Temperature in bundle'!$Q$6-('Temperature in bundle'!$Q$6^2-4*(T152+V$7)*'Temperature in bundle'!$Q$7)^0.5)/2/(T152+V$7)))</f>
        <v/>
      </c>
      <c r="V152" s="98" t="str">
        <f t="shared" si="50"/>
        <v/>
      </c>
      <c r="W152" s="101" t="str">
        <f t="shared" si="58"/>
        <v/>
      </c>
      <c r="Y152" s="100" t="str">
        <f t="shared" si="51"/>
        <v/>
      </c>
      <c r="Z152" s="119" t="str">
        <f>IF('Temperature in bundle'!$P$4="Current = 1A per pair",2,IF($A152="","",('Temperature in bundle'!$Q$6-('Temperature in bundle'!$Q$6^2-4*(Y152+AA$7)*'Temperature in bundle'!$Q$7)^0.5)/2/(Y152+AA$7)))</f>
        <v/>
      </c>
      <c r="AA152" s="98" t="str">
        <f t="shared" si="52"/>
        <v/>
      </c>
      <c r="AB152" s="101" t="str">
        <f t="shared" si="59"/>
        <v/>
      </c>
    </row>
    <row r="153" spans="1:28">
      <c r="A153" t="str">
        <f t="shared" si="60"/>
        <v/>
      </c>
      <c r="B153" s="113">
        <v>3</v>
      </c>
      <c r="C153" s="113">
        <f>SQRT(3)/2*6</f>
        <v>5.196152422706632</v>
      </c>
      <c r="D153" s="113">
        <f t="shared" si="62"/>
        <v>6</v>
      </c>
      <c r="E153" s="113" t="str">
        <f t="shared" si="53"/>
        <v/>
      </c>
      <c r="F153" s="113" t="str">
        <f t="shared" si="53"/>
        <v/>
      </c>
      <c r="G153" s="113" t="str">
        <f t="shared" si="61"/>
        <v/>
      </c>
      <c r="J153" s="116" t="str">
        <f t="shared" si="54"/>
        <v/>
      </c>
      <c r="K153" s="119" t="str">
        <f t="shared" si="46"/>
        <v/>
      </c>
      <c r="L153" s="98" t="str">
        <f t="shared" si="47"/>
        <v/>
      </c>
      <c r="M153" s="101" t="str">
        <f t="shared" si="55"/>
        <v/>
      </c>
      <c r="O153" s="100" t="str">
        <f t="shared" si="48"/>
        <v/>
      </c>
      <c r="P153" s="119" t="str">
        <f>IF('Temperature in bundle'!$P$4="Current = 1A per pair",2,IF($A153="","",('Temperature in bundle'!$Q$6-('Temperature in bundle'!$Q$6^2-4*(O153+Q$7)*'Temperature in bundle'!$Q$7)^0.5)/2/(O153+Q$7)))</f>
        <v/>
      </c>
      <c r="Q153" s="98" t="str">
        <f t="shared" si="56"/>
        <v/>
      </c>
      <c r="R153" s="101" t="str">
        <f t="shared" si="57"/>
        <v/>
      </c>
      <c r="T153" s="100" t="str">
        <f t="shared" si="49"/>
        <v/>
      </c>
      <c r="U153" s="119" t="str">
        <f>IF('Temperature in bundle'!$P$4="Current = 1A per pair",2,IF($A153="","",('Temperature in bundle'!$Q$6-('Temperature in bundle'!$Q$6^2-4*(T153+V$7)*'Temperature in bundle'!$Q$7)^0.5)/2/(T153+V$7)))</f>
        <v/>
      </c>
      <c r="V153" s="98" t="str">
        <f t="shared" si="50"/>
        <v/>
      </c>
      <c r="W153" s="101" t="str">
        <f t="shared" si="58"/>
        <v/>
      </c>
      <c r="Y153" s="100" t="str">
        <f t="shared" si="51"/>
        <v/>
      </c>
      <c r="Z153" s="119" t="str">
        <f>IF('Temperature in bundle'!$P$4="Current = 1A per pair",2,IF($A153="","",('Temperature in bundle'!$Q$6-('Temperature in bundle'!$Q$6^2-4*(Y153+AA$7)*'Temperature in bundle'!$Q$7)^0.5)/2/(Y153+AA$7)))</f>
        <v/>
      </c>
      <c r="AA153" s="98" t="str">
        <f t="shared" si="52"/>
        <v/>
      </c>
      <c r="AB153" s="101" t="str">
        <f t="shared" si="59"/>
        <v/>
      </c>
    </row>
    <row r="154" spans="1:28">
      <c r="A154" t="str">
        <f t="shared" si="60"/>
        <v/>
      </c>
      <c r="B154" s="113">
        <v>2</v>
      </c>
      <c r="C154" s="113">
        <f t="shared" ref="C154:C159" si="67">SQRT(3)/2*6</f>
        <v>5.196152422706632</v>
      </c>
      <c r="D154" s="113">
        <f t="shared" si="62"/>
        <v>5.5677643628300215</v>
      </c>
      <c r="E154" s="113" t="str">
        <f t="shared" si="53"/>
        <v/>
      </c>
      <c r="F154" s="113" t="str">
        <f t="shared" si="53"/>
        <v/>
      </c>
      <c r="G154" s="113" t="str">
        <f t="shared" si="61"/>
        <v/>
      </c>
      <c r="J154" s="116" t="str">
        <f t="shared" si="54"/>
        <v/>
      </c>
      <c r="K154" s="119" t="str">
        <f t="shared" si="46"/>
        <v/>
      </c>
      <c r="L154" s="98" t="str">
        <f t="shared" si="47"/>
        <v/>
      </c>
      <c r="M154" s="101" t="str">
        <f t="shared" si="55"/>
        <v/>
      </c>
      <c r="O154" s="100" t="str">
        <f t="shared" si="48"/>
        <v/>
      </c>
      <c r="P154" s="119" t="str">
        <f>IF('Temperature in bundle'!$P$4="Current = 1A per pair",2,IF($A154="","",('Temperature in bundle'!$Q$6-('Temperature in bundle'!$Q$6^2-4*(O154+Q$7)*'Temperature in bundle'!$Q$7)^0.5)/2/(O154+Q$7)))</f>
        <v/>
      </c>
      <c r="Q154" s="98" t="str">
        <f t="shared" si="56"/>
        <v/>
      </c>
      <c r="R154" s="101" t="str">
        <f t="shared" si="57"/>
        <v/>
      </c>
      <c r="T154" s="100" t="str">
        <f t="shared" si="49"/>
        <v/>
      </c>
      <c r="U154" s="119" t="str">
        <f>IF('Temperature in bundle'!$P$4="Current = 1A per pair",2,IF($A154="","",('Temperature in bundle'!$Q$6-('Temperature in bundle'!$Q$6^2-4*(T154+V$7)*'Temperature in bundle'!$Q$7)^0.5)/2/(T154+V$7)))</f>
        <v/>
      </c>
      <c r="V154" s="98" t="str">
        <f t="shared" si="50"/>
        <v/>
      </c>
      <c r="W154" s="101" t="str">
        <f t="shared" si="58"/>
        <v/>
      </c>
      <c r="Y154" s="100" t="str">
        <f t="shared" si="51"/>
        <v/>
      </c>
      <c r="Z154" s="119" t="str">
        <f>IF('Temperature in bundle'!$P$4="Current = 1A per pair",2,IF($A154="","",('Temperature in bundle'!$Q$6-('Temperature in bundle'!$Q$6^2-4*(Y154+AA$7)*'Temperature in bundle'!$Q$7)^0.5)/2/(Y154+AA$7)))</f>
        <v/>
      </c>
      <c r="AA154" s="98" t="str">
        <f t="shared" si="52"/>
        <v/>
      </c>
      <c r="AB154" s="101" t="str">
        <f t="shared" si="59"/>
        <v/>
      </c>
    </row>
    <row r="155" spans="1:28">
      <c r="A155" t="str">
        <f t="shared" si="60"/>
        <v/>
      </c>
      <c r="B155" s="113">
        <v>1</v>
      </c>
      <c r="C155" s="113">
        <f t="shared" si="67"/>
        <v>5.196152422706632</v>
      </c>
      <c r="D155" s="113">
        <f t="shared" si="62"/>
        <v>5.2915026221291814</v>
      </c>
      <c r="E155" s="113" t="str">
        <f t="shared" si="53"/>
        <v/>
      </c>
      <c r="F155" s="113" t="str">
        <f t="shared" si="53"/>
        <v/>
      </c>
      <c r="G155" s="113" t="str">
        <f t="shared" si="61"/>
        <v/>
      </c>
      <c r="J155" s="116" t="str">
        <f t="shared" si="54"/>
        <v/>
      </c>
      <c r="K155" s="119" t="str">
        <f t="shared" si="46"/>
        <v/>
      </c>
      <c r="L155" s="98" t="str">
        <f t="shared" si="47"/>
        <v/>
      </c>
      <c r="M155" s="101" t="str">
        <f t="shared" si="55"/>
        <v/>
      </c>
      <c r="O155" s="100" t="str">
        <f t="shared" si="48"/>
        <v/>
      </c>
      <c r="P155" s="119" t="str">
        <f>IF('Temperature in bundle'!$P$4="Current = 1A per pair",2,IF($A155="","",('Temperature in bundle'!$Q$6-('Temperature in bundle'!$Q$6^2-4*(O155+Q$7)*'Temperature in bundle'!$Q$7)^0.5)/2/(O155+Q$7)))</f>
        <v/>
      </c>
      <c r="Q155" s="98" t="str">
        <f t="shared" si="56"/>
        <v/>
      </c>
      <c r="R155" s="101" t="str">
        <f t="shared" si="57"/>
        <v/>
      </c>
      <c r="T155" s="100" t="str">
        <f t="shared" si="49"/>
        <v/>
      </c>
      <c r="U155" s="119" t="str">
        <f>IF('Temperature in bundle'!$P$4="Current = 1A per pair",2,IF($A155="","",('Temperature in bundle'!$Q$6-('Temperature in bundle'!$Q$6^2-4*(T155+V$7)*'Temperature in bundle'!$Q$7)^0.5)/2/(T155+V$7)))</f>
        <v/>
      </c>
      <c r="V155" s="98" t="str">
        <f t="shared" si="50"/>
        <v/>
      </c>
      <c r="W155" s="101" t="str">
        <f t="shared" si="58"/>
        <v/>
      </c>
      <c r="Y155" s="100" t="str">
        <f t="shared" si="51"/>
        <v/>
      </c>
      <c r="Z155" s="119" t="str">
        <f>IF('Temperature in bundle'!$P$4="Current = 1A per pair",2,IF($A155="","",('Temperature in bundle'!$Q$6-('Temperature in bundle'!$Q$6^2-4*(Y155+AA$7)*'Temperature in bundle'!$Q$7)^0.5)/2/(Y155+AA$7)))</f>
        <v/>
      </c>
      <c r="AA155" s="98" t="str">
        <f t="shared" si="52"/>
        <v/>
      </c>
      <c r="AB155" s="101" t="str">
        <f t="shared" si="59"/>
        <v/>
      </c>
    </row>
    <row r="156" spans="1:28">
      <c r="A156" t="str">
        <f t="shared" si="60"/>
        <v/>
      </c>
      <c r="B156" s="113">
        <v>0</v>
      </c>
      <c r="C156" s="113">
        <f t="shared" si="67"/>
        <v>5.196152422706632</v>
      </c>
      <c r="D156" s="113">
        <f t="shared" si="62"/>
        <v>5.196152422706632</v>
      </c>
      <c r="E156" s="113" t="str">
        <f t="shared" si="53"/>
        <v/>
      </c>
      <c r="F156" s="113" t="str">
        <f t="shared" si="53"/>
        <v/>
      </c>
      <c r="G156" s="113" t="str">
        <f t="shared" si="61"/>
        <v/>
      </c>
      <c r="J156" s="116" t="str">
        <f t="shared" si="54"/>
        <v/>
      </c>
      <c r="K156" s="119" t="str">
        <f t="shared" si="46"/>
        <v/>
      </c>
      <c r="L156" s="98" t="str">
        <f t="shared" si="47"/>
        <v/>
      </c>
      <c r="M156" s="101" t="str">
        <f t="shared" si="55"/>
        <v/>
      </c>
      <c r="O156" s="100" t="str">
        <f t="shared" si="48"/>
        <v/>
      </c>
      <c r="P156" s="119" t="str">
        <f>IF('Temperature in bundle'!$P$4="Current = 1A per pair",2,IF($A156="","",('Temperature in bundle'!$Q$6-('Temperature in bundle'!$Q$6^2-4*(O156+Q$7)*'Temperature in bundle'!$Q$7)^0.5)/2/(O156+Q$7)))</f>
        <v/>
      </c>
      <c r="Q156" s="98" t="str">
        <f t="shared" si="56"/>
        <v/>
      </c>
      <c r="R156" s="101" t="str">
        <f t="shared" si="57"/>
        <v/>
      </c>
      <c r="T156" s="100" t="str">
        <f t="shared" si="49"/>
        <v/>
      </c>
      <c r="U156" s="119" t="str">
        <f>IF('Temperature in bundle'!$P$4="Current = 1A per pair",2,IF($A156="","",('Temperature in bundle'!$Q$6-('Temperature in bundle'!$Q$6^2-4*(T156+V$7)*'Temperature in bundle'!$Q$7)^0.5)/2/(T156+V$7)))</f>
        <v/>
      </c>
      <c r="V156" s="98" t="str">
        <f t="shared" si="50"/>
        <v/>
      </c>
      <c r="W156" s="101" t="str">
        <f t="shared" si="58"/>
        <v/>
      </c>
      <c r="Y156" s="100" t="str">
        <f t="shared" si="51"/>
        <v/>
      </c>
      <c r="Z156" s="119" t="str">
        <f>IF('Temperature in bundle'!$P$4="Current = 1A per pair",2,IF($A156="","",('Temperature in bundle'!$Q$6-('Temperature in bundle'!$Q$6^2-4*(Y156+AA$7)*'Temperature in bundle'!$Q$7)^0.5)/2/(Y156+AA$7)))</f>
        <v/>
      </c>
      <c r="AA156" s="98" t="str">
        <f t="shared" si="52"/>
        <v/>
      </c>
      <c r="AB156" s="101" t="str">
        <f t="shared" si="59"/>
        <v/>
      </c>
    </row>
    <row r="157" spans="1:28">
      <c r="A157" t="str">
        <f t="shared" si="60"/>
        <v/>
      </c>
      <c r="B157" s="113">
        <v>-1</v>
      </c>
      <c r="C157" s="113">
        <f t="shared" si="67"/>
        <v>5.196152422706632</v>
      </c>
      <c r="D157" s="113">
        <f t="shared" si="62"/>
        <v>5.2915026221291814</v>
      </c>
      <c r="E157" s="113" t="str">
        <f t="shared" si="53"/>
        <v/>
      </c>
      <c r="F157" s="113" t="str">
        <f t="shared" si="53"/>
        <v/>
      </c>
      <c r="G157" s="113" t="str">
        <f t="shared" si="61"/>
        <v/>
      </c>
      <c r="J157" s="116" t="str">
        <f t="shared" si="54"/>
        <v/>
      </c>
      <c r="K157" s="119" t="str">
        <f t="shared" si="46"/>
        <v/>
      </c>
      <c r="L157" s="98" t="str">
        <f t="shared" si="47"/>
        <v/>
      </c>
      <c r="M157" s="101" t="str">
        <f t="shared" si="55"/>
        <v/>
      </c>
      <c r="O157" s="100" t="str">
        <f t="shared" si="48"/>
        <v/>
      </c>
      <c r="P157" s="119" t="str">
        <f>IF('Temperature in bundle'!$P$4="Current = 1A per pair",2,IF($A157="","",('Temperature in bundle'!$Q$6-('Temperature in bundle'!$Q$6^2-4*(O157+Q$7)*'Temperature in bundle'!$Q$7)^0.5)/2/(O157+Q$7)))</f>
        <v/>
      </c>
      <c r="Q157" s="98" t="str">
        <f t="shared" si="56"/>
        <v/>
      </c>
      <c r="R157" s="101" t="str">
        <f t="shared" si="57"/>
        <v/>
      </c>
      <c r="T157" s="100" t="str">
        <f t="shared" si="49"/>
        <v/>
      </c>
      <c r="U157" s="119" t="str">
        <f>IF('Temperature in bundle'!$P$4="Current = 1A per pair",2,IF($A157="","",('Temperature in bundle'!$Q$6-('Temperature in bundle'!$Q$6^2-4*(T157+V$7)*'Temperature in bundle'!$Q$7)^0.5)/2/(T157+V$7)))</f>
        <v/>
      </c>
      <c r="V157" s="98" t="str">
        <f t="shared" si="50"/>
        <v/>
      </c>
      <c r="W157" s="101" t="str">
        <f t="shared" si="58"/>
        <v/>
      </c>
      <c r="Y157" s="100" t="str">
        <f t="shared" si="51"/>
        <v/>
      </c>
      <c r="Z157" s="119" t="str">
        <f>IF('Temperature in bundle'!$P$4="Current = 1A per pair",2,IF($A157="","",('Temperature in bundle'!$Q$6-('Temperature in bundle'!$Q$6^2-4*(Y157+AA$7)*'Temperature in bundle'!$Q$7)^0.5)/2/(Y157+AA$7)))</f>
        <v/>
      </c>
      <c r="AA157" s="98" t="str">
        <f t="shared" si="52"/>
        <v/>
      </c>
      <c r="AB157" s="101" t="str">
        <f t="shared" si="59"/>
        <v/>
      </c>
    </row>
    <row r="158" spans="1:28">
      <c r="A158" t="str">
        <f t="shared" si="60"/>
        <v/>
      </c>
      <c r="B158" s="113">
        <v>-2</v>
      </c>
      <c r="C158" s="113">
        <f t="shared" si="67"/>
        <v>5.196152422706632</v>
      </c>
      <c r="D158" s="113">
        <f t="shared" si="62"/>
        <v>5.5677643628300215</v>
      </c>
      <c r="E158" s="113" t="str">
        <f t="shared" si="53"/>
        <v/>
      </c>
      <c r="F158" s="113" t="str">
        <f t="shared" si="53"/>
        <v/>
      </c>
      <c r="G158" s="113" t="str">
        <f t="shared" si="61"/>
        <v/>
      </c>
      <c r="J158" s="116" t="str">
        <f t="shared" si="54"/>
        <v/>
      </c>
      <c r="K158" s="119" t="str">
        <f t="shared" si="46"/>
        <v/>
      </c>
      <c r="L158" s="98" t="str">
        <f t="shared" si="47"/>
        <v/>
      </c>
      <c r="M158" s="101" t="str">
        <f t="shared" si="55"/>
        <v/>
      </c>
      <c r="O158" s="100" t="str">
        <f t="shared" si="48"/>
        <v/>
      </c>
      <c r="P158" s="119" t="str">
        <f>IF('Temperature in bundle'!$P$4="Current = 1A per pair",2,IF($A158="","",('Temperature in bundle'!$Q$6-('Temperature in bundle'!$Q$6^2-4*(O158+Q$7)*'Temperature in bundle'!$Q$7)^0.5)/2/(O158+Q$7)))</f>
        <v/>
      </c>
      <c r="Q158" s="98" t="str">
        <f t="shared" si="56"/>
        <v/>
      </c>
      <c r="R158" s="101" t="str">
        <f t="shared" si="57"/>
        <v/>
      </c>
      <c r="T158" s="100" t="str">
        <f t="shared" si="49"/>
        <v/>
      </c>
      <c r="U158" s="119" t="str">
        <f>IF('Temperature in bundle'!$P$4="Current = 1A per pair",2,IF($A158="","",('Temperature in bundle'!$Q$6-('Temperature in bundle'!$Q$6^2-4*(T158+V$7)*'Temperature in bundle'!$Q$7)^0.5)/2/(T158+V$7)))</f>
        <v/>
      </c>
      <c r="V158" s="98" t="str">
        <f t="shared" si="50"/>
        <v/>
      </c>
      <c r="W158" s="101" t="str">
        <f t="shared" si="58"/>
        <v/>
      </c>
      <c r="Y158" s="100" t="str">
        <f t="shared" si="51"/>
        <v/>
      </c>
      <c r="Z158" s="119" t="str">
        <f>IF('Temperature in bundle'!$P$4="Current = 1A per pair",2,IF($A158="","",('Temperature in bundle'!$Q$6-('Temperature in bundle'!$Q$6^2-4*(Y158+AA$7)*'Temperature in bundle'!$Q$7)^0.5)/2/(Y158+AA$7)))</f>
        <v/>
      </c>
      <c r="AA158" s="98" t="str">
        <f t="shared" si="52"/>
        <v/>
      </c>
      <c r="AB158" s="101" t="str">
        <f t="shared" si="59"/>
        <v/>
      </c>
    </row>
    <row r="159" spans="1:28">
      <c r="A159" t="str">
        <f t="shared" si="60"/>
        <v/>
      </c>
      <c r="B159" s="113">
        <v>-3</v>
      </c>
      <c r="C159" s="113">
        <f t="shared" si="67"/>
        <v>5.196152422706632</v>
      </c>
      <c r="D159" s="113">
        <f t="shared" si="62"/>
        <v>6</v>
      </c>
      <c r="E159" s="113" t="str">
        <f t="shared" si="53"/>
        <v/>
      </c>
      <c r="F159" s="113" t="str">
        <f t="shared" si="53"/>
        <v/>
      </c>
      <c r="G159" s="113" t="str">
        <f t="shared" si="61"/>
        <v/>
      </c>
      <c r="J159" s="116" t="str">
        <f t="shared" si="54"/>
        <v/>
      </c>
      <c r="K159" s="119" t="str">
        <f t="shared" si="46"/>
        <v/>
      </c>
      <c r="L159" s="98" t="str">
        <f t="shared" si="47"/>
        <v/>
      </c>
      <c r="M159" s="101" t="str">
        <f t="shared" si="55"/>
        <v/>
      </c>
      <c r="O159" s="100" t="str">
        <f t="shared" si="48"/>
        <v/>
      </c>
      <c r="P159" s="119" t="str">
        <f>IF('Temperature in bundle'!$P$4="Current = 1A per pair",2,IF($A159="","",('Temperature in bundle'!$Q$6-('Temperature in bundle'!$Q$6^2-4*(O159+Q$7)*'Temperature in bundle'!$Q$7)^0.5)/2/(O159+Q$7)))</f>
        <v/>
      </c>
      <c r="Q159" s="98" t="str">
        <f t="shared" si="56"/>
        <v/>
      </c>
      <c r="R159" s="101" t="str">
        <f t="shared" si="57"/>
        <v/>
      </c>
      <c r="T159" s="100" t="str">
        <f t="shared" si="49"/>
        <v/>
      </c>
      <c r="U159" s="119" t="str">
        <f>IF('Temperature in bundle'!$P$4="Current = 1A per pair",2,IF($A159="","",('Temperature in bundle'!$Q$6-('Temperature in bundle'!$Q$6^2-4*(T159+V$7)*'Temperature in bundle'!$Q$7)^0.5)/2/(T159+V$7)))</f>
        <v/>
      </c>
      <c r="V159" s="98" t="str">
        <f t="shared" si="50"/>
        <v/>
      </c>
      <c r="W159" s="101" t="str">
        <f t="shared" si="58"/>
        <v/>
      </c>
      <c r="Y159" s="100" t="str">
        <f t="shared" si="51"/>
        <v/>
      </c>
      <c r="Z159" s="119" t="str">
        <f>IF('Temperature in bundle'!$P$4="Current = 1A per pair",2,IF($A159="","",('Temperature in bundle'!$Q$6-('Temperature in bundle'!$Q$6^2-4*(Y159+AA$7)*'Temperature in bundle'!$Q$7)^0.5)/2/(Y159+AA$7)))</f>
        <v/>
      </c>
      <c r="AA159" s="98" t="str">
        <f t="shared" si="52"/>
        <v/>
      </c>
      <c r="AB159" s="101" t="str">
        <f t="shared" si="59"/>
        <v/>
      </c>
    </row>
    <row r="160" spans="1:28">
      <c r="A160" t="str">
        <f t="shared" si="60"/>
        <v/>
      </c>
      <c r="B160" s="113">
        <v>-3.5</v>
      </c>
      <c r="C160" s="113">
        <f>SQRT(3)/2*5</f>
        <v>4.3301270189221928</v>
      </c>
      <c r="D160" s="113">
        <f t="shared" si="62"/>
        <v>5.5677643628300215</v>
      </c>
      <c r="E160" s="113" t="str">
        <f t="shared" si="53"/>
        <v/>
      </c>
      <c r="F160" s="113" t="str">
        <f t="shared" si="53"/>
        <v/>
      </c>
      <c r="G160" s="113" t="str">
        <f t="shared" si="61"/>
        <v/>
      </c>
      <c r="J160" s="116" t="str">
        <f t="shared" si="54"/>
        <v/>
      </c>
      <c r="K160" s="119" t="str">
        <f t="shared" si="46"/>
        <v/>
      </c>
      <c r="L160" s="98" t="str">
        <f t="shared" si="47"/>
        <v/>
      </c>
      <c r="M160" s="101" t="str">
        <f t="shared" si="55"/>
        <v/>
      </c>
      <c r="O160" s="100" t="str">
        <f t="shared" si="48"/>
        <v/>
      </c>
      <c r="P160" s="119" t="str">
        <f>IF('Temperature in bundle'!$P$4="Current = 1A per pair",2,IF($A160="","",('Temperature in bundle'!$Q$6-('Temperature in bundle'!$Q$6^2-4*(O160+Q$7)*'Temperature in bundle'!$Q$7)^0.5)/2/(O160+Q$7)))</f>
        <v/>
      </c>
      <c r="Q160" s="98" t="str">
        <f t="shared" si="56"/>
        <v/>
      </c>
      <c r="R160" s="101" t="str">
        <f t="shared" si="57"/>
        <v/>
      </c>
      <c r="T160" s="100" t="str">
        <f t="shared" si="49"/>
        <v/>
      </c>
      <c r="U160" s="119" t="str">
        <f>IF('Temperature in bundle'!$P$4="Current = 1A per pair",2,IF($A160="","",('Temperature in bundle'!$Q$6-('Temperature in bundle'!$Q$6^2-4*(T160+V$7)*'Temperature in bundle'!$Q$7)^0.5)/2/(T160+V$7)))</f>
        <v/>
      </c>
      <c r="V160" s="98" t="str">
        <f t="shared" si="50"/>
        <v/>
      </c>
      <c r="W160" s="101" t="str">
        <f t="shared" si="58"/>
        <v/>
      </c>
      <c r="Y160" s="100" t="str">
        <f t="shared" si="51"/>
        <v/>
      </c>
      <c r="Z160" s="119" t="str">
        <f>IF('Temperature in bundle'!$P$4="Current = 1A per pair",2,IF($A160="","",('Temperature in bundle'!$Q$6-('Temperature in bundle'!$Q$6^2-4*(Y160+AA$7)*'Temperature in bundle'!$Q$7)^0.5)/2/(Y160+AA$7)))</f>
        <v/>
      </c>
      <c r="AA160" s="98" t="str">
        <f t="shared" si="52"/>
        <v/>
      </c>
      <c r="AB160" s="101" t="str">
        <f t="shared" si="59"/>
        <v/>
      </c>
    </row>
    <row r="161" spans="1:28">
      <c r="A161" t="str">
        <f t="shared" si="60"/>
        <v/>
      </c>
      <c r="B161" s="113">
        <v>-4</v>
      </c>
      <c r="C161" s="113">
        <f>SQRT(3)/2*4</f>
        <v>3.4641016151377544</v>
      </c>
      <c r="D161" s="113">
        <f t="shared" si="62"/>
        <v>5.2915026221291814</v>
      </c>
      <c r="E161" s="113" t="str">
        <f t="shared" si="53"/>
        <v/>
      </c>
      <c r="F161" s="113" t="str">
        <f t="shared" si="53"/>
        <v/>
      </c>
      <c r="G161" s="113" t="str">
        <f t="shared" si="61"/>
        <v/>
      </c>
      <c r="J161" s="116" t="str">
        <f t="shared" si="54"/>
        <v/>
      </c>
      <c r="K161" s="119" t="str">
        <f t="shared" si="46"/>
        <v/>
      </c>
      <c r="L161" s="98" t="str">
        <f t="shared" si="47"/>
        <v/>
      </c>
      <c r="M161" s="101" t="str">
        <f t="shared" si="55"/>
        <v/>
      </c>
      <c r="O161" s="100" t="str">
        <f t="shared" si="48"/>
        <v/>
      </c>
      <c r="P161" s="119" t="str">
        <f>IF('Temperature in bundle'!$P$4="Current = 1A per pair",2,IF($A161="","",('Temperature in bundle'!$Q$6-('Temperature in bundle'!$Q$6^2-4*(O161+Q$7)*'Temperature in bundle'!$Q$7)^0.5)/2/(O161+Q$7)))</f>
        <v/>
      </c>
      <c r="Q161" s="98" t="str">
        <f t="shared" si="56"/>
        <v/>
      </c>
      <c r="R161" s="101" t="str">
        <f t="shared" si="57"/>
        <v/>
      </c>
      <c r="T161" s="100" t="str">
        <f t="shared" si="49"/>
        <v/>
      </c>
      <c r="U161" s="119" t="str">
        <f>IF('Temperature in bundle'!$P$4="Current = 1A per pair",2,IF($A161="","",('Temperature in bundle'!$Q$6-('Temperature in bundle'!$Q$6^2-4*(T161+V$7)*'Temperature in bundle'!$Q$7)^0.5)/2/(T161+V$7)))</f>
        <v/>
      </c>
      <c r="V161" s="98" t="str">
        <f t="shared" si="50"/>
        <v/>
      </c>
      <c r="W161" s="101" t="str">
        <f t="shared" si="58"/>
        <v/>
      </c>
      <c r="Y161" s="100" t="str">
        <f t="shared" si="51"/>
        <v/>
      </c>
      <c r="Z161" s="119" t="str">
        <f>IF('Temperature in bundle'!$P$4="Current = 1A per pair",2,IF($A161="","",('Temperature in bundle'!$Q$6-('Temperature in bundle'!$Q$6^2-4*(Y161+AA$7)*'Temperature in bundle'!$Q$7)^0.5)/2/(Y161+AA$7)))</f>
        <v/>
      </c>
      <c r="AA161" s="98" t="str">
        <f t="shared" si="52"/>
        <v/>
      </c>
      <c r="AB161" s="101" t="str">
        <f t="shared" si="59"/>
        <v/>
      </c>
    </row>
    <row r="162" spans="1:28">
      <c r="A162" t="str">
        <f t="shared" si="60"/>
        <v/>
      </c>
      <c r="B162" s="113">
        <v>-4.5</v>
      </c>
      <c r="C162" s="113">
        <f>SQRT(3)/2*3</f>
        <v>2.598076211353316</v>
      </c>
      <c r="D162" s="113">
        <f t="shared" si="62"/>
        <v>5.196152422706632</v>
      </c>
      <c r="E162" s="113" t="str">
        <f t="shared" si="53"/>
        <v/>
      </c>
      <c r="F162" s="113" t="str">
        <f t="shared" si="53"/>
        <v/>
      </c>
      <c r="G162" s="113" t="str">
        <f t="shared" si="61"/>
        <v/>
      </c>
      <c r="J162" s="116" t="str">
        <f t="shared" si="54"/>
        <v/>
      </c>
      <c r="K162" s="119" t="str">
        <f t="shared" si="46"/>
        <v/>
      </c>
      <c r="L162" s="98" t="str">
        <f t="shared" si="47"/>
        <v/>
      </c>
      <c r="M162" s="101" t="str">
        <f t="shared" si="55"/>
        <v/>
      </c>
      <c r="O162" s="100" t="str">
        <f t="shared" si="48"/>
        <v/>
      </c>
      <c r="P162" s="119" t="str">
        <f>IF('Temperature in bundle'!$P$4="Current = 1A per pair",2,IF($A162="","",('Temperature in bundle'!$Q$6-('Temperature in bundle'!$Q$6^2-4*(O162+Q$7)*'Temperature in bundle'!$Q$7)^0.5)/2/(O162+Q$7)))</f>
        <v/>
      </c>
      <c r="Q162" s="98" t="str">
        <f t="shared" si="56"/>
        <v/>
      </c>
      <c r="R162" s="101" t="str">
        <f t="shared" si="57"/>
        <v/>
      </c>
      <c r="T162" s="100" t="str">
        <f t="shared" si="49"/>
        <v/>
      </c>
      <c r="U162" s="119" t="str">
        <f>IF('Temperature in bundle'!$P$4="Current = 1A per pair",2,IF($A162="","",('Temperature in bundle'!$Q$6-('Temperature in bundle'!$Q$6^2-4*(T162+V$7)*'Temperature in bundle'!$Q$7)^0.5)/2/(T162+V$7)))</f>
        <v/>
      </c>
      <c r="V162" s="98" t="str">
        <f t="shared" si="50"/>
        <v/>
      </c>
      <c r="W162" s="101" t="str">
        <f t="shared" si="58"/>
        <v/>
      </c>
      <c r="Y162" s="100" t="str">
        <f t="shared" si="51"/>
        <v/>
      </c>
      <c r="Z162" s="119" t="str">
        <f>IF('Temperature in bundle'!$P$4="Current = 1A per pair",2,IF($A162="","",('Temperature in bundle'!$Q$6-('Temperature in bundle'!$Q$6^2-4*(Y162+AA$7)*'Temperature in bundle'!$Q$7)^0.5)/2/(Y162+AA$7)))</f>
        <v/>
      </c>
      <c r="AA162" s="98" t="str">
        <f t="shared" si="52"/>
        <v/>
      </c>
      <c r="AB162" s="101" t="str">
        <f t="shared" si="59"/>
        <v/>
      </c>
    </row>
    <row r="163" spans="1:28">
      <c r="A163" t="str">
        <f t="shared" si="60"/>
        <v/>
      </c>
      <c r="B163" s="113">
        <v>-5</v>
      </c>
      <c r="C163" s="113">
        <f>SQRT(3)/2*2</f>
        <v>1.7320508075688772</v>
      </c>
      <c r="D163" s="113">
        <f t="shared" si="62"/>
        <v>5.2915026221291814</v>
      </c>
      <c r="E163" s="113" t="str">
        <f t="shared" si="53"/>
        <v/>
      </c>
      <c r="F163" s="113" t="str">
        <f t="shared" si="53"/>
        <v/>
      </c>
      <c r="G163" s="113" t="str">
        <f t="shared" si="61"/>
        <v/>
      </c>
      <c r="J163" s="116" t="str">
        <f t="shared" si="54"/>
        <v/>
      </c>
      <c r="K163" s="119" t="str">
        <f t="shared" si="46"/>
        <v/>
      </c>
      <c r="L163" s="98" t="str">
        <f t="shared" si="47"/>
        <v/>
      </c>
      <c r="M163" s="101" t="str">
        <f t="shared" si="55"/>
        <v/>
      </c>
      <c r="O163" s="100" t="str">
        <f t="shared" si="48"/>
        <v/>
      </c>
      <c r="P163" s="119" t="str">
        <f>IF('Temperature in bundle'!$P$4="Current = 1A per pair",2,IF($A163="","",('Temperature in bundle'!$Q$6-('Temperature in bundle'!$Q$6^2-4*(O163+Q$7)*'Temperature in bundle'!$Q$7)^0.5)/2/(O163+Q$7)))</f>
        <v/>
      </c>
      <c r="Q163" s="98" t="str">
        <f t="shared" si="56"/>
        <v/>
      </c>
      <c r="R163" s="101" t="str">
        <f t="shared" si="57"/>
        <v/>
      </c>
      <c r="T163" s="100" t="str">
        <f t="shared" si="49"/>
        <v/>
      </c>
      <c r="U163" s="119" t="str">
        <f>IF('Temperature in bundle'!$P$4="Current = 1A per pair",2,IF($A163="","",('Temperature in bundle'!$Q$6-('Temperature in bundle'!$Q$6^2-4*(T163+V$7)*'Temperature in bundle'!$Q$7)^0.5)/2/(T163+V$7)))</f>
        <v/>
      </c>
      <c r="V163" s="98" t="str">
        <f t="shared" si="50"/>
        <v/>
      </c>
      <c r="W163" s="101" t="str">
        <f t="shared" si="58"/>
        <v/>
      </c>
      <c r="Y163" s="100" t="str">
        <f t="shared" si="51"/>
        <v/>
      </c>
      <c r="Z163" s="119" t="str">
        <f>IF('Temperature in bundle'!$P$4="Current = 1A per pair",2,IF($A163="","",('Temperature in bundle'!$Q$6-('Temperature in bundle'!$Q$6^2-4*(Y163+AA$7)*'Temperature in bundle'!$Q$7)^0.5)/2/(Y163+AA$7)))</f>
        <v/>
      </c>
      <c r="AA163" s="98" t="str">
        <f t="shared" si="52"/>
        <v/>
      </c>
      <c r="AB163" s="101" t="str">
        <f t="shared" si="59"/>
        <v/>
      </c>
    </row>
    <row r="164" spans="1:28">
      <c r="A164" t="str">
        <f t="shared" si="60"/>
        <v/>
      </c>
      <c r="B164" s="113">
        <v>-5.5</v>
      </c>
      <c r="C164" s="113">
        <f>SQRT(3)/2*1</f>
        <v>0.8660254037844386</v>
      </c>
      <c r="D164" s="113">
        <f t="shared" si="62"/>
        <v>5.5677643628300215</v>
      </c>
      <c r="E164" s="113" t="str">
        <f t="shared" si="53"/>
        <v/>
      </c>
      <c r="F164" s="113" t="str">
        <f t="shared" si="53"/>
        <v/>
      </c>
      <c r="G164" s="113" t="str">
        <f t="shared" si="61"/>
        <v/>
      </c>
      <c r="J164" s="116" t="str">
        <f t="shared" si="54"/>
        <v/>
      </c>
      <c r="K164" s="119" t="str">
        <f t="shared" si="46"/>
        <v/>
      </c>
      <c r="L164" s="98" t="str">
        <f t="shared" si="47"/>
        <v/>
      </c>
      <c r="M164" s="101" t="str">
        <f t="shared" si="55"/>
        <v/>
      </c>
      <c r="O164" s="100" t="str">
        <f t="shared" si="48"/>
        <v/>
      </c>
      <c r="P164" s="119" t="str">
        <f>IF('Temperature in bundle'!$P$4="Current = 1A per pair",2,IF($A164="","",('Temperature in bundle'!$Q$6-('Temperature in bundle'!$Q$6^2-4*(O164+Q$7)*'Temperature in bundle'!$Q$7)^0.5)/2/(O164+Q$7)))</f>
        <v/>
      </c>
      <c r="Q164" s="98" t="str">
        <f t="shared" si="56"/>
        <v/>
      </c>
      <c r="R164" s="101" t="str">
        <f t="shared" si="57"/>
        <v/>
      </c>
      <c r="T164" s="100" t="str">
        <f t="shared" si="49"/>
        <v/>
      </c>
      <c r="U164" s="119" t="str">
        <f>IF('Temperature in bundle'!$P$4="Current = 1A per pair",2,IF($A164="","",('Temperature in bundle'!$Q$6-('Temperature in bundle'!$Q$6^2-4*(T164+V$7)*'Temperature in bundle'!$Q$7)^0.5)/2/(T164+V$7)))</f>
        <v/>
      </c>
      <c r="V164" s="98" t="str">
        <f t="shared" si="50"/>
        <v/>
      </c>
      <c r="W164" s="101" t="str">
        <f t="shared" si="58"/>
        <v/>
      </c>
      <c r="Y164" s="100" t="str">
        <f t="shared" si="51"/>
        <v/>
      </c>
      <c r="Z164" s="119" t="str">
        <f>IF('Temperature in bundle'!$P$4="Current = 1A per pair",2,IF($A164="","",('Temperature in bundle'!$Q$6-('Temperature in bundle'!$Q$6^2-4*(Y164+AA$7)*'Temperature in bundle'!$Q$7)^0.5)/2/(Y164+AA$7)))</f>
        <v/>
      </c>
      <c r="AA164" s="98" t="str">
        <f t="shared" si="52"/>
        <v/>
      </c>
      <c r="AB164" s="101" t="str">
        <f t="shared" si="59"/>
        <v/>
      </c>
    </row>
    <row r="165" spans="1:28">
      <c r="A165" t="str">
        <f t="shared" si="60"/>
        <v/>
      </c>
      <c r="B165" s="113">
        <v>-6</v>
      </c>
      <c r="C165" s="113">
        <v>0</v>
      </c>
      <c r="D165" s="113">
        <f t="shared" si="62"/>
        <v>6</v>
      </c>
      <c r="E165" s="113" t="str">
        <f t="shared" si="53"/>
        <v/>
      </c>
      <c r="F165" s="113" t="str">
        <f t="shared" si="53"/>
        <v/>
      </c>
      <c r="G165" s="113" t="str">
        <f t="shared" si="61"/>
        <v/>
      </c>
      <c r="J165" s="116" t="str">
        <f t="shared" si="54"/>
        <v/>
      </c>
      <c r="K165" s="119" t="str">
        <f t="shared" si="46"/>
        <v/>
      </c>
      <c r="L165" s="98" t="str">
        <f t="shared" si="47"/>
        <v/>
      </c>
      <c r="M165" s="101" t="str">
        <f t="shared" si="55"/>
        <v/>
      </c>
      <c r="O165" s="100" t="str">
        <f t="shared" si="48"/>
        <v/>
      </c>
      <c r="P165" s="119" t="str">
        <f>IF('Temperature in bundle'!$P$4="Current = 1A per pair",2,IF($A165="","",('Temperature in bundle'!$Q$6-('Temperature in bundle'!$Q$6^2-4*(O165+Q$7)*'Temperature in bundle'!$Q$7)^0.5)/2/(O165+Q$7)))</f>
        <v/>
      </c>
      <c r="Q165" s="98" t="str">
        <f t="shared" si="56"/>
        <v/>
      </c>
      <c r="R165" s="101" t="str">
        <f t="shared" si="57"/>
        <v/>
      </c>
      <c r="T165" s="100" t="str">
        <f t="shared" si="49"/>
        <v/>
      </c>
      <c r="U165" s="119" t="str">
        <f>IF('Temperature in bundle'!$P$4="Current = 1A per pair",2,IF($A165="","",('Temperature in bundle'!$Q$6-('Temperature in bundle'!$Q$6^2-4*(T165+V$7)*'Temperature in bundle'!$Q$7)^0.5)/2/(T165+V$7)))</f>
        <v/>
      </c>
      <c r="V165" s="98" t="str">
        <f t="shared" si="50"/>
        <v/>
      </c>
      <c r="W165" s="101" t="str">
        <f t="shared" si="58"/>
        <v/>
      </c>
      <c r="Y165" s="100" t="str">
        <f t="shared" si="51"/>
        <v/>
      </c>
      <c r="Z165" s="119" t="str">
        <f>IF('Temperature in bundle'!$P$4="Current = 1A per pair",2,IF($A165="","",('Temperature in bundle'!$Q$6-('Temperature in bundle'!$Q$6^2-4*(Y165+AA$7)*'Temperature in bundle'!$Q$7)^0.5)/2/(Y165+AA$7)))</f>
        <v/>
      </c>
      <c r="AA165" s="98" t="str">
        <f t="shared" si="52"/>
        <v/>
      </c>
      <c r="AB165" s="101" t="str">
        <f t="shared" si="59"/>
        <v/>
      </c>
    </row>
    <row r="166" spans="1:28">
      <c r="A166" t="str">
        <f t="shared" si="60"/>
        <v/>
      </c>
      <c r="B166" s="113">
        <v>-5.5</v>
      </c>
      <c r="C166" s="113">
        <f>(SQRT(3)/2)*-1</f>
        <v>-0.8660254037844386</v>
      </c>
      <c r="D166" s="113">
        <f t="shared" si="62"/>
        <v>5.5677643628300215</v>
      </c>
      <c r="E166" s="113" t="str">
        <f t="shared" si="53"/>
        <v/>
      </c>
      <c r="F166" s="113" t="str">
        <f t="shared" si="53"/>
        <v/>
      </c>
      <c r="G166" s="113" t="str">
        <f t="shared" si="61"/>
        <v/>
      </c>
      <c r="J166" s="116" t="str">
        <f t="shared" si="54"/>
        <v/>
      </c>
      <c r="K166" s="119" t="str">
        <f t="shared" si="46"/>
        <v/>
      </c>
      <c r="L166" s="98" t="str">
        <f t="shared" si="47"/>
        <v/>
      </c>
      <c r="M166" s="101" t="str">
        <f t="shared" si="55"/>
        <v/>
      </c>
      <c r="O166" s="100" t="str">
        <f t="shared" si="48"/>
        <v/>
      </c>
      <c r="P166" s="119" t="str">
        <f>IF('Temperature in bundle'!$P$4="Current = 1A per pair",2,IF($A166="","",('Temperature in bundle'!$Q$6-('Temperature in bundle'!$Q$6^2-4*(O166+Q$7)*'Temperature in bundle'!$Q$7)^0.5)/2/(O166+Q$7)))</f>
        <v/>
      </c>
      <c r="Q166" s="98" t="str">
        <f t="shared" si="56"/>
        <v/>
      </c>
      <c r="R166" s="101" t="str">
        <f t="shared" si="57"/>
        <v/>
      </c>
      <c r="T166" s="100" t="str">
        <f t="shared" si="49"/>
        <v/>
      </c>
      <c r="U166" s="119" t="str">
        <f>IF('Temperature in bundle'!$P$4="Current = 1A per pair",2,IF($A166="","",('Temperature in bundle'!$Q$6-('Temperature in bundle'!$Q$6^2-4*(T166+V$7)*'Temperature in bundle'!$Q$7)^0.5)/2/(T166+V$7)))</f>
        <v/>
      </c>
      <c r="V166" s="98" t="str">
        <f t="shared" si="50"/>
        <v/>
      </c>
      <c r="W166" s="101" t="str">
        <f t="shared" si="58"/>
        <v/>
      </c>
      <c r="Y166" s="100" t="str">
        <f t="shared" si="51"/>
        <v/>
      </c>
      <c r="Z166" s="119" t="str">
        <f>IF('Temperature in bundle'!$P$4="Current = 1A per pair",2,IF($A166="","",('Temperature in bundle'!$Q$6-('Temperature in bundle'!$Q$6^2-4*(Y166+AA$7)*'Temperature in bundle'!$Q$7)^0.5)/2/(Y166+AA$7)))</f>
        <v/>
      </c>
      <c r="AA166" s="98" t="str">
        <f t="shared" si="52"/>
        <v/>
      </c>
      <c r="AB166" s="101" t="str">
        <f t="shared" si="59"/>
        <v/>
      </c>
    </row>
    <row r="167" spans="1:28">
      <c r="A167" t="str">
        <f t="shared" si="60"/>
        <v/>
      </c>
      <c r="B167" s="113">
        <v>-5</v>
      </c>
      <c r="C167" s="113">
        <f>(SQRT(3)/2)*-2</f>
        <v>-1.7320508075688772</v>
      </c>
      <c r="D167" s="113">
        <f t="shared" si="62"/>
        <v>5.2915026221291814</v>
      </c>
      <c r="E167" s="113" t="str">
        <f t="shared" si="53"/>
        <v/>
      </c>
      <c r="F167" s="113" t="str">
        <f t="shared" si="53"/>
        <v/>
      </c>
      <c r="G167" s="113" t="str">
        <f t="shared" si="61"/>
        <v/>
      </c>
      <c r="J167" s="116" t="str">
        <f t="shared" si="54"/>
        <v/>
      </c>
      <c r="K167" s="119" t="str">
        <f t="shared" si="46"/>
        <v/>
      </c>
      <c r="L167" s="98" t="str">
        <f t="shared" si="47"/>
        <v/>
      </c>
      <c r="M167" s="101" t="str">
        <f t="shared" si="55"/>
        <v/>
      </c>
      <c r="O167" s="100" t="str">
        <f t="shared" si="48"/>
        <v/>
      </c>
      <c r="P167" s="119" t="str">
        <f>IF('Temperature in bundle'!$P$4="Current = 1A per pair",2,IF($A167="","",('Temperature in bundle'!$Q$6-('Temperature in bundle'!$Q$6^2-4*(O167+Q$7)*'Temperature in bundle'!$Q$7)^0.5)/2/(O167+Q$7)))</f>
        <v/>
      </c>
      <c r="Q167" s="98" t="str">
        <f t="shared" si="56"/>
        <v/>
      </c>
      <c r="R167" s="101" t="str">
        <f t="shared" si="57"/>
        <v/>
      </c>
      <c r="T167" s="100" t="str">
        <f t="shared" si="49"/>
        <v/>
      </c>
      <c r="U167" s="119" t="str">
        <f>IF('Temperature in bundle'!$P$4="Current = 1A per pair",2,IF($A167="","",('Temperature in bundle'!$Q$6-('Temperature in bundle'!$Q$6^2-4*(T167+V$7)*'Temperature in bundle'!$Q$7)^0.5)/2/(T167+V$7)))</f>
        <v/>
      </c>
      <c r="V167" s="98" t="str">
        <f t="shared" si="50"/>
        <v/>
      </c>
      <c r="W167" s="101" t="str">
        <f t="shared" si="58"/>
        <v/>
      </c>
      <c r="Y167" s="100" t="str">
        <f t="shared" si="51"/>
        <v/>
      </c>
      <c r="Z167" s="119" t="str">
        <f>IF('Temperature in bundle'!$P$4="Current = 1A per pair",2,IF($A167="","",('Temperature in bundle'!$Q$6-('Temperature in bundle'!$Q$6^2-4*(Y167+AA$7)*'Temperature in bundle'!$Q$7)^0.5)/2/(Y167+AA$7)))</f>
        <v/>
      </c>
      <c r="AA167" s="98" t="str">
        <f t="shared" si="52"/>
        <v/>
      </c>
      <c r="AB167" s="101" t="str">
        <f t="shared" si="59"/>
        <v/>
      </c>
    </row>
    <row r="168" spans="1:28">
      <c r="A168" t="str">
        <f t="shared" si="60"/>
        <v/>
      </c>
      <c r="B168" s="113">
        <v>-4.5</v>
      </c>
      <c r="C168" s="113">
        <f>(SQRT(3)/2)*-3</f>
        <v>-2.598076211353316</v>
      </c>
      <c r="D168" s="113">
        <f t="shared" si="62"/>
        <v>5.196152422706632</v>
      </c>
      <c r="E168" s="113" t="str">
        <f t="shared" si="53"/>
        <v/>
      </c>
      <c r="F168" s="113" t="str">
        <f t="shared" si="53"/>
        <v/>
      </c>
      <c r="G168" s="113" t="str">
        <f t="shared" si="61"/>
        <v/>
      </c>
      <c r="J168" s="116" t="str">
        <f t="shared" si="54"/>
        <v/>
      </c>
      <c r="K168" s="119" t="str">
        <f t="shared" si="46"/>
        <v/>
      </c>
      <c r="L168" s="98" t="str">
        <f t="shared" si="47"/>
        <v/>
      </c>
      <c r="M168" s="101" t="str">
        <f t="shared" si="55"/>
        <v/>
      </c>
      <c r="O168" s="100" t="str">
        <f t="shared" si="48"/>
        <v/>
      </c>
      <c r="P168" s="119" t="str">
        <f>IF('Temperature in bundle'!$P$4="Current = 1A per pair",2,IF($A168="","",('Temperature in bundle'!$Q$6-('Temperature in bundle'!$Q$6^2-4*(O168+Q$7)*'Temperature in bundle'!$Q$7)^0.5)/2/(O168+Q$7)))</f>
        <v/>
      </c>
      <c r="Q168" s="98" t="str">
        <f t="shared" si="56"/>
        <v/>
      </c>
      <c r="R168" s="101" t="str">
        <f t="shared" si="57"/>
        <v/>
      </c>
      <c r="T168" s="100" t="str">
        <f t="shared" si="49"/>
        <v/>
      </c>
      <c r="U168" s="119" t="str">
        <f>IF('Temperature in bundle'!$P$4="Current = 1A per pair",2,IF($A168="","",('Temperature in bundle'!$Q$6-('Temperature in bundle'!$Q$6^2-4*(T168+V$7)*'Temperature in bundle'!$Q$7)^0.5)/2/(T168+V$7)))</f>
        <v/>
      </c>
      <c r="V168" s="98" t="str">
        <f t="shared" si="50"/>
        <v/>
      </c>
      <c r="W168" s="101" t="str">
        <f t="shared" si="58"/>
        <v/>
      </c>
      <c r="Y168" s="100" t="str">
        <f t="shared" si="51"/>
        <v/>
      </c>
      <c r="Z168" s="119" t="str">
        <f>IF('Temperature in bundle'!$P$4="Current = 1A per pair",2,IF($A168="","",('Temperature in bundle'!$Q$6-('Temperature in bundle'!$Q$6^2-4*(Y168+AA$7)*'Temperature in bundle'!$Q$7)^0.5)/2/(Y168+AA$7)))</f>
        <v/>
      </c>
      <c r="AA168" s="98" t="str">
        <f t="shared" si="52"/>
        <v/>
      </c>
      <c r="AB168" s="101" t="str">
        <f t="shared" si="59"/>
        <v/>
      </c>
    </row>
    <row r="169" spans="1:28">
      <c r="A169" t="str">
        <f t="shared" si="60"/>
        <v/>
      </c>
      <c r="B169" s="113">
        <v>-4</v>
      </c>
      <c r="C169" s="113">
        <f>(SQRT(3)/2)*-4</f>
        <v>-3.4641016151377544</v>
      </c>
      <c r="D169" s="113">
        <f t="shared" si="62"/>
        <v>5.2915026221291814</v>
      </c>
      <c r="E169" s="113" t="str">
        <f t="shared" si="53"/>
        <v/>
      </c>
      <c r="F169" s="113" t="str">
        <f t="shared" si="53"/>
        <v/>
      </c>
      <c r="G169" s="113" t="str">
        <f t="shared" si="61"/>
        <v/>
      </c>
      <c r="J169" s="116" t="str">
        <f t="shared" si="54"/>
        <v/>
      </c>
      <c r="K169" s="119" t="str">
        <f t="shared" si="46"/>
        <v/>
      </c>
      <c r="L169" s="98" t="str">
        <f t="shared" si="47"/>
        <v/>
      </c>
      <c r="M169" s="101" t="str">
        <f t="shared" si="55"/>
        <v/>
      </c>
      <c r="O169" s="100" t="str">
        <f t="shared" si="48"/>
        <v/>
      </c>
      <c r="P169" s="119" t="str">
        <f>IF('Temperature in bundle'!$P$4="Current = 1A per pair",2,IF($A169="","",('Temperature in bundle'!$Q$6-('Temperature in bundle'!$Q$6^2-4*(O169+Q$7)*'Temperature in bundle'!$Q$7)^0.5)/2/(O169+Q$7)))</f>
        <v/>
      </c>
      <c r="Q169" s="98" t="str">
        <f t="shared" si="56"/>
        <v/>
      </c>
      <c r="R169" s="101" t="str">
        <f t="shared" si="57"/>
        <v/>
      </c>
      <c r="T169" s="100" t="str">
        <f t="shared" si="49"/>
        <v/>
      </c>
      <c r="U169" s="119" t="str">
        <f>IF('Temperature in bundle'!$P$4="Current = 1A per pair",2,IF($A169="","",('Temperature in bundle'!$Q$6-('Temperature in bundle'!$Q$6^2-4*(T169+V$7)*'Temperature in bundle'!$Q$7)^0.5)/2/(T169+V$7)))</f>
        <v/>
      </c>
      <c r="V169" s="98" t="str">
        <f t="shared" si="50"/>
        <v/>
      </c>
      <c r="W169" s="101" t="str">
        <f t="shared" si="58"/>
        <v/>
      </c>
      <c r="Y169" s="100" t="str">
        <f t="shared" si="51"/>
        <v/>
      </c>
      <c r="Z169" s="119" t="str">
        <f>IF('Temperature in bundle'!$P$4="Current = 1A per pair",2,IF($A169="","",('Temperature in bundle'!$Q$6-('Temperature in bundle'!$Q$6^2-4*(Y169+AA$7)*'Temperature in bundle'!$Q$7)^0.5)/2/(Y169+AA$7)))</f>
        <v/>
      </c>
      <c r="AA169" s="98" t="str">
        <f t="shared" si="52"/>
        <v/>
      </c>
      <c r="AB169" s="101" t="str">
        <f t="shared" si="59"/>
        <v/>
      </c>
    </row>
    <row r="170" spans="1:28">
      <c r="A170" t="str">
        <f t="shared" si="60"/>
        <v/>
      </c>
      <c r="B170" s="113">
        <v>-3.5</v>
      </c>
      <c r="C170" s="113">
        <f>(SQRT(3)/2)*-5</f>
        <v>-4.3301270189221928</v>
      </c>
      <c r="D170" s="113">
        <f t="shared" si="62"/>
        <v>5.5677643628300215</v>
      </c>
      <c r="E170" s="113" t="str">
        <f t="shared" si="53"/>
        <v/>
      </c>
      <c r="F170" s="113" t="str">
        <f t="shared" si="53"/>
        <v/>
      </c>
      <c r="G170" s="113" t="str">
        <f t="shared" si="61"/>
        <v/>
      </c>
      <c r="J170" s="116" t="str">
        <f t="shared" si="54"/>
        <v/>
      </c>
      <c r="K170" s="119" t="str">
        <f t="shared" si="46"/>
        <v/>
      </c>
      <c r="L170" s="98" t="str">
        <f t="shared" si="47"/>
        <v/>
      </c>
      <c r="M170" s="101" t="str">
        <f t="shared" si="55"/>
        <v/>
      </c>
      <c r="O170" s="100" t="str">
        <f t="shared" si="48"/>
        <v/>
      </c>
      <c r="P170" s="119" t="str">
        <f>IF('Temperature in bundle'!$P$4="Current = 1A per pair",2,IF($A170="","",('Temperature in bundle'!$Q$6-('Temperature in bundle'!$Q$6^2-4*(O170+Q$7)*'Temperature in bundle'!$Q$7)^0.5)/2/(O170+Q$7)))</f>
        <v/>
      </c>
      <c r="Q170" s="98" t="str">
        <f t="shared" si="56"/>
        <v/>
      </c>
      <c r="R170" s="101" t="str">
        <f t="shared" si="57"/>
        <v/>
      </c>
      <c r="T170" s="100" t="str">
        <f t="shared" si="49"/>
        <v/>
      </c>
      <c r="U170" s="119" t="str">
        <f>IF('Temperature in bundle'!$P$4="Current = 1A per pair",2,IF($A170="","",('Temperature in bundle'!$Q$6-('Temperature in bundle'!$Q$6^2-4*(T170+V$7)*'Temperature in bundle'!$Q$7)^0.5)/2/(T170+V$7)))</f>
        <v/>
      </c>
      <c r="V170" s="98" t="str">
        <f t="shared" si="50"/>
        <v/>
      </c>
      <c r="W170" s="101" t="str">
        <f t="shared" si="58"/>
        <v/>
      </c>
      <c r="Y170" s="100" t="str">
        <f t="shared" si="51"/>
        <v/>
      </c>
      <c r="Z170" s="119" t="str">
        <f>IF('Temperature in bundle'!$P$4="Current = 1A per pair",2,IF($A170="","",('Temperature in bundle'!$Q$6-('Temperature in bundle'!$Q$6^2-4*(Y170+AA$7)*'Temperature in bundle'!$Q$7)^0.5)/2/(Y170+AA$7)))</f>
        <v/>
      </c>
      <c r="AA170" s="98" t="str">
        <f t="shared" si="52"/>
        <v/>
      </c>
      <c r="AB170" s="101" t="str">
        <f t="shared" si="59"/>
        <v/>
      </c>
    </row>
    <row r="171" spans="1:28">
      <c r="A171" t="str">
        <f t="shared" si="60"/>
        <v/>
      </c>
      <c r="B171" s="113">
        <v>-3</v>
      </c>
      <c r="C171" s="113">
        <f>(SQRT(3)/2)*-6</f>
        <v>-5.196152422706632</v>
      </c>
      <c r="D171" s="113">
        <f t="shared" si="62"/>
        <v>6</v>
      </c>
      <c r="E171" s="113" t="str">
        <f t="shared" si="53"/>
        <v/>
      </c>
      <c r="F171" s="113" t="str">
        <f t="shared" si="53"/>
        <v/>
      </c>
      <c r="G171" s="113" t="str">
        <f t="shared" si="61"/>
        <v/>
      </c>
      <c r="J171" s="116" t="str">
        <f t="shared" si="54"/>
        <v/>
      </c>
      <c r="K171" s="119" t="str">
        <f t="shared" si="46"/>
        <v/>
      </c>
      <c r="L171" s="98" t="str">
        <f t="shared" si="47"/>
        <v/>
      </c>
      <c r="M171" s="101" t="str">
        <f t="shared" si="55"/>
        <v/>
      </c>
      <c r="O171" s="100" t="str">
        <f t="shared" si="48"/>
        <v/>
      </c>
      <c r="P171" s="119" t="str">
        <f>IF('Temperature in bundle'!$P$4="Current = 1A per pair",2,IF($A171="","",('Temperature in bundle'!$Q$6-('Temperature in bundle'!$Q$6^2-4*(O171+Q$7)*'Temperature in bundle'!$Q$7)^0.5)/2/(O171+Q$7)))</f>
        <v/>
      </c>
      <c r="Q171" s="98" t="str">
        <f t="shared" si="56"/>
        <v/>
      </c>
      <c r="R171" s="101" t="str">
        <f t="shared" si="57"/>
        <v/>
      </c>
      <c r="T171" s="100" t="str">
        <f t="shared" si="49"/>
        <v/>
      </c>
      <c r="U171" s="119" t="str">
        <f>IF('Temperature in bundle'!$P$4="Current = 1A per pair",2,IF($A171="","",('Temperature in bundle'!$Q$6-('Temperature in bundle'!$Q$6^2-4*(T171+V$7)*'Temperature in bundle'!$Q$7)^0.5)/2/(T171+V$7)))</f>
        <v/>
      </c>
      <c r="V171" s="98" t="str">
        <f t="shared" si="50"/>
        <v/>
      </c>
      <c r="W171" s="101" t="str">
        <f t="shared" si="58"/>
        <v/>
      </c>
      <c r="Y171" s="100" t="str">
        <f t="shared" si="51"/>
        <v/>
      </c>
      <c r="Z171" s="119" t="str">
        <f>IF('Temperature in bundle'!$P$4="Current = 1A per pair",2,IF($A171="","",('Temperature in bundle'!$Q$6-('Temperature in bundle'!$Q$6^2-4*(Y171+AA$7)*'Temperature in bundle'!$Q$7)^0.5)/2/(Y171+AA$7)))</f>
        <v/>
      </c>
      <c r="AA171" s="98" t="str">
        <f t="shared" si="52"/>
        <v/>
      </c>
      <c r="AB171" s="101" t="str">
        <f t="shared" si="59"/>
        <v/>
      </c>
    </row>
    <row r="172" spans="1:28">
      <c r="A172" t="str">
        <f t="shared" si="60"/>
        <v/>
      </c>
      <c r="B172" s="113">
        <v>-2</v>
      </c>
      <c r="C172" s="113">
        <f t="shared" ref="C172:C177" si="68">(SQRT(3)/2)*-6</f>
        <v>-5.196152422706632</v>
      </c>
      <c r="D172" s="113">
        <f t="shared" si="62"/>
        <v>5.5677643628300215</v>
      </c>
      <c r="E172" s="113" t="str">
        <f t="shared" si="53"/>
        <v/>
      </c>
      <c r="F172" s="113" t="str">
        <f t="shared" si="53"/>
        <v/>
      </c>
      <c r="G172" s="113" t="str">
        <f t="shared" si="61"/>
        <v/>
      </c>
      <c r="J172" s="116" t="str">
        <f t="shared" si="54"/>
        <v/>
      </c>
      <c r="K172" s="119" t="str">
        <f t="shared" si="46"/>
        <v/>
      </c>
      <c r="L172" s="98" t="str">
        <f t="shared" si="47"/>
        <v/>
      </c>
      <c r="M172" s="101" t="str">
        <f t="shared" si="55"/>
        <v/>
      </c>
      <c r="O172" s="100" t="str">
        <f t="shared" si="48"/>
        <v/>
      </c>
      <c r="P172" s="119" t="str">
        <f>IF('Temperature in bundle'!$P$4="Current = 1A per pair",2,IF($A172="","",('Temperature in bundle'!$Q$6-('Temperature in bundle'!$Q$6^2-4*(O172+Q$7)*'Temperature in bundle'!$Q$7)^0.5)/2/(O172+Q$7)))</f>
        <v/>
      </c>
      <c r="Q172" s="98" t="str">
        <f t="shared" si="56"/>
        <v/>
      </c>
      <c r="R172" s="101" t="str">
        <f t="shared" si="57"/>
        <v/>
      </c>
      <c r="T172" s="100" t="str">
        <f t="shared" si="49"/>
        <v/>
      </c>
      <c r="U172" s="119" t="str">
        <f>IF('Temperature in bundle'!$P$4="Current = 1A per pair",2,IF($A172="","",('Temperature in bundle'!$Q$6-('Temperature in bundle'!$Q$6^2-4*(T172+V$7)*'Temperature in bundle'!$Q$7)^0.5)/2/(T172+V$7)))</f>
        <v/>
      </c>
      <c r="V172" s="98" t="str">
        <f t="shared" si="50"/>
        <v/>
      </c>
      <c r="W172" s="101" t="str">
        <f t="shared" si="58"/>
        <v/>
      </c>
      <c r="Y172" s="100" t="str">
        <f t="shared" si="51"/>
        <v/>
      </c>
      <c r="Z172" s="119" t="str">
        <f>IF('Temperature in bundle'!$P$4="Current = 1A per pair",2,IF($A172="","",('Temperature in bundle'!$Q$6-('Temperature in bundle'!$Q$6^2-4*(Y172+AA$7)*'Temperature in bundle'!$Q$7)^0.5)/2/(Y172+AA$7)))</f>
        <v/>
      </c>
      <c r="AA172" s="98" t="str">
        <f t="shared" si="52"/>
        <v/>
      </c>
      <c r="AB172" s="101" t="str">
        <f t="shared" si="59"/>
        <v/>
      </c>
    </row>
    <row r="173" spans="1:28">
      <c r="A173" t="str">
        <f t="shared" si="60"/>
        <v/>
      </c>
      <c r="B173" s="113">
        <v>-1</v>
      </c>
      <c r="C173" s="113">
        <f t="shared" si="68"/>
        <v>-5.196152422706632</v>
      </c>
      <c r="D173" s="113">
        <f t="shared" si="62"/>
        <v>5.2915026221291814</v>
      </c>
      <c r="E173" s="113" t="str">
        <f t="shared" si="53"/>
        <v/>
      </c>
      <c r="F173" s="113" t="str">
        <f t="shared" si="53"/>
        <v/>
      </c>
      <c r="G173" s="113" t="str">
        <f t="shared" si="61"/>
        <v/>
      </c>
      <c r="J173" s="116" t="str">
        <f t="shared" si="54"/>
        <v/>
      </c>
      <c r="K173" s="119" t="str">
        <f t="shared" si="46"/>
        <v/>
      </c>
      <c r="L173" s="98" t="str">
        <f t="shared" si="47"/>
        <v/>
      </c>
      <c r="M173" s="101" t="str">
        <f t="shared" si="55"/>
        <v/>
      </c>
      <c r="O173" s="100" t="str">
        <f t="shared" si="48"/>
        <v/>
      </c>
      <c r="P173" s="119" t="str">
        <f>IF('Temperature in bundle'!$P$4="Current = 1A per pair",2,IF($A173="","",('Temperature in bundle'!$Q$6-('Temperature in bundle'!$Q$6^2-4*(O173+Q$7)*'Temperature in bundle'!$Q$7)^0.5)/2/(O173+Q$7)))</f>
        <v/>
      </c>
      <c r="Q173" s="98" t="str">
        <f t="shared" si="56"/>
        <v/>
      </c>
      <c r="R173" s="101" t="str">
        <f t="shared" si="57"/>
        <v/>
      </c>
      <c r="T173" s="100" t="str">
        <f t="shared" si="49"/>
        <v/>
      </c>
      <c r="U173" s="119" t="str">
        <f>IF('Temperature in bundle'!$P$4="Current = 1A per pair",2,IF($A173="","",('Temperature in bundle'!$Q$6-('Temperature in bundle'!$Q$6^2-4*(T173+V$7)*'Temperature in bundle'!$Q$7)^0.5)/2/(T173+V$7)))</f>
        <v/>
      </c>
      <c r="V173" s="98" t="str">
        <f t="shared" si="50"/>
        <v/>
      </c>
      <c r="W173" s="101" t="str">
        <f t="shared" si="58"/>
        <v/>
      </c>
      <c r="Y173" s="100" t="str">
        <f t="shared" si="51"/>
        <v/>
      </c>
      <c r="Z173" s="119" t="str">
        <f>IF('Temperature in bundle'!$P$4="Current = 1A per pair",2,IF($A173="","",('Temperature in bundle'!$Q$6-('Temperature in bundle'!$Q$6^2-4*(Y173+AA$7)*'Temperature in bundle'!$Q$7)^0.5)/2/(Y173+AA$7)))</f>
        <v/>
      </c>
      <c r="AA173" s="98" t="str">
        <f t="shared" si="52"/>
        <v/>
      </c>
      <c r="AB173" s="101" t="str">
        <f t="shared" si="59"/>
        <v/>
      </c>
    </row>
    <row r="174" spans="1:28">
      <c r="A174" t="str">
        <f t="shared" si="60"/>
        <v/>
      </c>
      <c r="B174" s="113">
        <v>0</v>
      </c>
      <c r="C174" s="113">
        <f t="shared" si="68"/>
        <v>-5.196152422706632</v>
      </c>
      <c r="D174" s="113">
        <f t="shared" si="62"/>
        <v>5.196152422706632</v>
      </c>
      <c r="E174" s="113" t="str">
        <f t="shared" si="53"/>
        <v/>
      </c>
      <c r="F174" s="113" t="str">
        <f t="shared" si="53"/>
        <v/>
      </c>
      <c r="G174" s="113" t="str">
        <f t="shared" si="61"/>
        <v/>
      </c>
      <c r="J174" s="116" t="str">
        <f t="shared" si="54"/>
        <v/>
      </c>
      <c r="K174" s="119" t="str">
        <f t="shared" si="46"/>
        <v/>
      </c>
      <c r="L174" s="98" t="str">
        <f t="shared" si="47"/>
        <v/>
      </c>
      <c r="M174" s="101" t="str">
        <f t="shared" si="55"/>
        <v/>
      </c>
      <c r="O174" s="100" t="str">
        <f t="shared" si="48"/>
        <v/>
      </c>
      <c r="P174" s="119" t="str">
        <f>IF('Temperature in bundle'!$P$4="Current = 1A per pair",2,IF($A174="","",('Temperature in bundle'!$Q$6-('Temperature in bundle'!$Q$6^2-4*(O174+Q$7)*'Temperature in bundle'!$Q$7)^0.5)/2/(O174+Q$7)))</f>
        <v/>
      </c>
      <c r="Q174" s="98" t="str">
        <f t="shared" si="56"/>
        <v/>
      </c>
      <c r="R174" s="101" t="str">
        <f t="shared" si="57"/>
        <v/>
      </c>
      <c r="T174" s="100" t="str">
        <f t="shared" si="49"/>
        <v/>
      </c>
      <c r="U174" s="119" t="str">
        <f>IF('Temperature in bundle'!$P$4="Current = 1A per pair",2,IF($A174="","",('Temperature in bundle'!$Q$6-('Temperature in bundle'!$Q$6^2-4*(T174+V$7)*'Temperature in bundle'!$Q$7)^0.5)/2/(T174+V$7)))</f>
        <v/>
      </c>
      <c r="V174" s="98" t="str">
        <f t="shared" si="50"/>
        <v/>
      </c>
      <c r="W174" s="101" t="str">
        <f t="shared" si="58"/>
        <v/>
      </c>
      <c r="Y174" s="100" t="str">
        <f t="shared" si="51"/>
        <v/>
      </c>
      <c r="Z174" s="119" t="str">
        <f>IF('Temperature in bundle'!$P$4="Current = 1A per pair",2,IF($A174="","",('Temperature in bundle'!$Q$6-('Temperature in bundle'!$Q$6^2-4*(Y174+AA$7)*'Temperature in bundle'!$Q$7)^0.5)/2/(Y174+AA$7)))</f>
        <v/>
      </c>
      <c r="AA174" s="98" t="str">
        <f t="shared" si="52"/>
        <v/>
      </c>
      <c r="AB174" s="101" t="str">
        <f t="shared" si="59"/>
        <v/>
      </c>
    </row>
    <row r="175" spans="1:28">
      <c r="A175" t="str">
        <f t="shared" si="60"/>
        <v/>
      </c>
      <c r="B175" s="113">
        <v>1</v>
      </c>
      <c r="C175" s="113">
        <f t="shared" si="68"/>
        <v>-5.196152422706632</v>
      </c>
      <c r="D175" s="113">
        <f t="shared" si="62"/>
        <v>5.2915026221291814</v>
      </c>
      <c r="E175" s="113" t="str">
        <f t="shared" si="53"/>
        <v/>
      </c>
      <c r="F175" s="113" t="str">
        <f t="shared" si="53"/>
        <v/>
      </c>
      <c r="G175" s="113" t="str">
        <f t="shared" si="61"/>
        <v/>
      </c>
      <c r="J175" s="116" t="str">
        <f t="shared" si="54"/>
        <v/>
      </c>
      <c r="K175" s="119" t="str">
        <f t="shared" si="46"/>
        <v/>
      </c>
      <c r="L175" s="98" t="str">
        <f t="shared" si="47"/>
        <v/>
      </c>
      <c r="M175" s="101" t="str">
        <f t="shared" si="55"/>
        <v/>
      </c>
      <c r="O175" s="100" t="str">
        <f t="shared" si="48"/>
        <v/>
      </c>
      <c r="P175" s="119" t="str">
        <f>IF('Temperature in bundle'!$P$4="Current = 1A per pair",2,IF($A175="","",('Temperature in bundle'!$Q$6-('Temperature in bundle'!$Q$6^2-4*(O175+Q$7)*'Temperature in bundle'!$Q$7)^0.5)/2/(O175+Q$7)))</f>
        <v/>
      </c>
      <c r="Q175" s="98" t="str">
        <f t="shared" si="56"/>
        <v/>
      </c>
      <c r="R175" s="101" t="str">
        <f t="shared" si="57"/>
        <v/>
      </c>
      <c r="T175" s="100" t="str">
        <f t="shared" si="49"/>
        <v/>
      </c>
      <c r="U175" s="119" t="str">
        <f>IF('Temperature in bundle'!$P$4="Current = 1A per pair",2,IF($A175="","",('Temperature in bundle'!$Q$6-('Temperature in bundle'!$Q$6^2-4*(T175+V$7)*'Temperature in bundle'!$Q$7)^0.5)/2/(T175+V$7)))</f>
        <v/>
      </c>
      <c r="V175" s="98" t="str">
        <f t="shared" si="50"/>
        <v/>
      </c>
      <c r="W175" s="101" t="str">
        <f t="shared" si="58"/>
        <v/>
      </c>
      <c r="Y175" s="100" t="str">
        <f t="shared" si="51"/>
        <v/>
      </c>
      <c r="Z175" s="119" t="str">
        <f>IF('Temperature in bundle'!$P$4="Current = 1A per pair",2,IF($A175="","",('Temperature in bundle'!$Q$6-('Temperature in bundle'!$Q$6^2-4*(Y175+AA$7)*'Temperature in bundle'!$Q$7)^0.5)/2/(Y175+AA$7)))</f>
        <v/>
      </c>
      <c r="AA175" s="98" t="str">
        <f t="shared" si="52"/>
        <v/>
      </c>
      <c r="AB175" s="101" t="str">
        <f t="shared" si="59"/>
        <v/>
      </c>
    </row>
    <row r="176" spans="1:28">
      <c r="A176" t="str">
        <f t="shared" si="60"/>
        <v/>
      </c>
      <c r="B176" s="113">
        <v>2</v>
      </c>
      <c r="C176" s="113">
        <f t="shared" si="68"/>
        <v>-5.196152422706632</v>
      </c>
      <c r="D176" s="113">
        <f t="shared" si="62"/>
        <v>5.5677643628300215</v>
      </c>
      <c r="E176" s="113" t="str">
        <f t="shared" si="53"/>
        <v/>
      </c>
      <c r="F176" s="113" t="str">
        <f t="shared" si="53"/>
        <v/>
      </c>
      <c r="G176" s="113" t="str">
        <f t="shared" si="61"/>
        <v/>
      </c>
      <c r="J176" s="116" t="str">
        <f t="shared" si="54"/>
        <v/>
      </c>
      <c r="K176" s="119" t="str">
        <f t="shared" si="46"/>
        <v/>
      </c>
      <c r="L176" s="98" t="str">
        <f t="shared" si="47"/>
        <v/>
      </c>
      <c r="M176" s="101" t="str">
        <f t="shared" si="55"/>
        <v/>
      </c>
      <c r="O176" s="100" t="str">
        <f t="shared" si="48"/>
        <v/>
      </c>
      <c r="P176" s="119" t="str">
        <f>IF('Temperature in bundle'!$P$4="Current = 1A per pair",2,IF($A176="","",('Temperature in bundle'!$Q$6-('Temperature in bundle'!$Q$6^2-4*(O176+Q$7)*'Temperature in bundle'!$Q$7)^0.5)/2/(O176+Q$7)))</f>
        <v/>
      </c>
      <c r="Q176" s="98" t="str">
        <f t="shared" si="56"/>
        <v/>
      </c>
      <c r="R176" s="101" t="str">
        <f t="shared" si="57"/>
        <v/>
      </c>
      <c r="T176" s="100" t="str">
        <f t="shared" si="49"/>
        <v/>
      </c>
      <c r="U176" s="119" t="str">
        <f>IF('Temperature in bundle'!$P$4="Current = 1A per pair",2,IF($A176="","",('Temperature in bundle'!$Q$6-('Temperature in bundle'!$Q$6^2-4*(T176+V$7)*'Temperature in bundle'!$Q$7)^0.5)/2/(T176+V$7)))</f>
        <v/>
      </c>
      <c r="V176" s="98" t="str">
        <f t="shared" si="50"/>
        <v/>
      </c>
      <c r="W176" s="101" t="str">
        <f t="shared" si="58"/>
        <v/>
      </c>
      <c r="Y176" s="100" t="str">
        <f t="shared" si="51"/>
        <v/>
      </c>
      <c r="Z176" s="119" t="str">
        <f>IF('Temperature in bundle'!$P$4="Current = 1A per pair",2,IF($A176="","",('Temperature in bundle'!$Q$6-('Temperature in bundle'!$Q$6^2-4*(Y176+AA$7)*'Temperature in bundle'!$Q$7)^0.5)/2/(Y176+AA$7)))</f>
        <v/>
      </c>
      <c r="AA176" s="98" t="str">
        <f t="shared" si="52"/>
        <v/>
      </c>
      <c r="AB176" s="101" t="str">
        <f t="shared" si="59"/>
        <v/>
      </c>
    </row>
    <row r="177" spans="1:28">
      <c r="A177" t="str">
        <f t="shared" si="60"/>
        <v/>
      </c>
      <c r="B177" s="113">
        <v>3</v>
      </c>
      <c r="C177" s="113">
        <f t="shared" si="68"/>
        <v>-5.196152422706632</v>
      </c>
      <c r="D177" s="113">
        <f t="shared" si="62"/>
        <v>6</v>
      </c>
      <c r="E177" s="113" t="str">
        <f t="shared" si="53"/>
        <v/>
      </c>
      <c r="F177" s="113" t="str">
        <f t="shared" si="53"/>
        <v/>
      </c>
      <c r="G177" s="113" t="str">
        <f t="shared" si="61"/>
        <v/>
      </c>
      <c r="J177" s="116" t="str">
        <f t="shared" si="54"/>
        <v/>
      </c>
      <c r="K177" s="119" t="str">
        <f t="shared" si="46"/>
        <v/>
      </c>
      <c r="L177" s="98" t="str">
        <f t="shared" si="47"/>
        <v/>
      </c>
      <c r="M177" s="101" t="str">
        <f t="shared" si="55"/>
        <v/>
      </c>
      <c r="O177" s="100" t="str">
        <f t="shared" si="48"/>
        <v/>
      </c>
      <c r="P177" s="119" t="str">
        <f>IF('Temperature in bundle'!$P$4="Current = 1A per pair",2,IF($A177="","",('Temperature in bundle'!$Q$6-('Temperature in bundle'!$Q$6^2-4*(O177+Q$7)*'Temperature in bundle'!$Q$7)^0.5)/2/(O177+Q$7)))</f>
        <v/>
      </c>
      <c r="Q177" s="98" t="str">
        <f t="shared" si="56"/>
        <v/>
      </c>
      <c r="R177" s="101" t="str">
        <f t="shared" si="57"/>
        <v/>
      </c>
      <c r="T177" s="100" t="str">
        <f t="shared" si="49"/>
        <v/>
      </c>
      <c r="U177" s="119" t="str">
        <f>IF('Temperature in bundle'!$P$4="Current = 1A per pair",2,IF($A177="","",('Temperature in bundle'!$Q$6-('Temperature in bundle'!$Q$6^2-4*(T177+V$7)*'Temperature in bundle'!$Q$7)^0.5)/2/(T177+V$7)))</f>
        <v/>
      </c>
      <c r="V177" s="98" t="str">
        <f t="shared" si="50"/>
        <v/>
      </c>
      <c r="W177" s="101" t="str">
        <f t="shared" si="58"/>
        <v/>
      </c>
      <c r="Y177" s="100" t="str">
        <f t="shared" si="51"/>
        <v/>
      </c>
      <c r="Z177" s="119" t="str">
        <f>IF('Temperature in bundle'!$P$4="Current = 1A per pair",2,IF($A177="","",('Temperature in bundle'!$Q$6-('Temperature in bundle'!$Q$6^2-4*(Y177+AA$7)*'Temperature in bundle'!$Q$7)^0.5)/2/(Y177+AA$7)))</f>
        <v/>
      </c>
      <c r="AA177" s="98" t="str">
        <f t="shared" si="52"/>
        <v/>
      </c>
      <c r="AB177" s="101" t="str">
        <f t="shared" si="59"/>
        <v/>
      </c>
    </row>
    <row r="178" spans="1:28">
      <c r="A178" t="str">
        <f t="shared" si="60"/>
        <v/>
      </c>
      <c r="B178" s="113">
        <v>5.5</v>
      </c>
      <c r="C178" s="113">
        <f>SQRT(3)/2*3</f>
        <v>2.598076211353316</v>
      </c>
      <c r="D178" s="113">
        <f t="shared" si="62"/>
        <v>6.0827625302982193</v>
      </c>
      <c r="E178" s="113" t="str">
        <f t="shared" si="53"/>
        <v/>
      </c>
      <c r="F178" s="113" t="str">
        <f t="shared" si="53"/>
        <v/>
      </c>
      <c r="G178" s="113" t="str">
        <f t="shared" si="61"/>
        <v/>
      </c>
      <c r="J178" s="116" t="str">
        <f t="shared" si="54"/>
        <v/>
      </c>
      <c r="K178" s="119" t="str">
        <f t="shared" si="46"/>
        <v/>
      </c>
      <c r="L178" s="98" t="str">
        <f t="shared" si="47"/>
        <v/>
      </c>
      <c r="M178" s="101" t="str">
        <f t="shared" si="55"/>
        <v/>
      </c>
      <c r="O178" s="100" t="str">
        <f t="shared" si="48"/>
        <v/>
      </c>
      <c r="P178" s="119" t="str">
        <f>IF('Temperature in bundle'!$P$4="Current = 1A per pair",2,IF($A178="","",('Temperature in bundle'!$Q$6-('Temperature in bundle'!$Q$6^2-4*(O178+Q$7)*'Temperature in bundle'!$Q$7)^0.5)/2/(O178+Q$7)))</f>
        <v/>
      </c>
      <c r="Q178" s="98" t="str">
        <f t="shared" si="56"/>
        <v/>
      </c>
      <c r="R178" s="101" t="str">
        <f t="shared" si="57"/>
        <v/>
      </c>
      <c r="T178" s="100" t="str">
        <f t="shared" si="49"/>
        <v/>
      </c>
      <c r="U178" s="119" t="str">
        <f>IF('Temperature in bundle'!$P$4="Current = 1A per pair",2,IF($A178="","",('Temperature in bundle'!$Q$6-('Temperature in bundle'!$Q$6^2-4*(T178+V$7)*'Temperature in bundle'!$Q$7)^0.5)/2/(T178+V$7)))</f>
        <v/>
      </c>
      <c r="V178" s="98" t="str">
        <f t="shared" si="50"/>
        <v/>
      </c>
      <c r="W178" s="101" t="str">
        <f t="shared" si="58"/>
        <v/>
      </c>
      <c r="Y178" s="100" t="str">
        <f t="shared" si="51"/>
        <v/>
      </c>
      <c r="Z178" s="119" t="str">
        <f>IF('Temperature in bundle'!$P$4="Current = 1A per pair",2,IF($A178="","",('Temperature in bundle'!$Q$6-('Temperature in bundle'!$Q$6^2-4*(Y178+AA$7)*'Temperature in bundle'!$Q$7)^0.5)/2/(Y178+AA$7)))</f>
        <v/>
      </c>
      <c r="AA178" s="98" t="str">
        <f t="shared" si="52"/>
        <v/>
      </c>
      <c r="AB178" s="101" t="str">
        <f t="shared" si="59"/>
        <v/>
      </c>
    </row>
    <row r="179" spans="1:28">
      <c r="A179" t="str">
        <f t="shared" si="60"/>
        <v/>
      </c>
      <c r="B179" s="113">
        <v>5</v>
      </c>
      <c r="C179" s="113">
        <f>SQRT(3)/2*4</f>
        <v>3.4641016151377544</v>
      </c>
      <c r="D179" s="113">
        <f t="shared" si="62"/>
        <v>6.0827625302982193</v>
      </c>
      <c r="E179" s="113" t="str">
        <f t="shared" si="53"/>
        <v/>
      </c>
      <c r="F179" s="113" t="str">
        <f t="shared" si="53"/>
        <v/>
      </c>
      <c r="G179" s="113" t="str">
        <f t="shared" si="61"/>
        <v/>
      </c>
      <c r="J179" s="116" t="str">
        <f t="shared" si="54"/>
        <v/>
      </c>
      <c r="K179" s="119" t="str">
        <f t="shared" ref="K179:K242" si="69">IF($A179="","",$C$12)</f>
        <v/>
      </c>
      <c r="L179" s="98" t="str">
        <f t="shared" ref="L179:L242" si="70">IF($A179="","",J179*K179^2)</f>
        <v/>
      </c>
      <c r="M179" s="101" t="str">
        <f t="shared" si="55"/>
        <v/>
      </c>
      <c r="O179" s="100" t="str">
        <f t="shared" ref="O179:O242" si="71">IF($A179="","",$J179*(1+0.0039*M179))</f>
        <v/>
      </c>
      <c r="P179" s="119" t="str">
        <f>IF('Temperature in bundle'!$P$4="Current = 1A per pair",2,IF($A179="","",('Temperature in bundle'!$Q$6-('Temperature in bundle'!$Q$6^2-4*(O179+Q$7)*'Temperature in bundle'!$Q$7)^0.5)/2/(O179+Q$7)))</f>
        <v/>
      </c>
      <c r="Q179" s="98" t="str">
        <f t="shared" si="56"/>
        <v/>
      </c>
      <c r="R179" s="101" t="str">
        <f t="shared" si="57"/>
        <v/>
      </c>
      <c r="T179" s="100" t="str">
        <f t="shared" ref="T179:T242" si="72">IF($A179="","",$J179*(1+0.0039*R179))</f>
        <v/>
      </c>
      <c r="U179" s="119" t="str">
        <f>IF('Temperature in bundle'!$P$4="Current = 1A per pair",2,IF($A179="","",('Temperature in bundle'!$Q$6-('Temperature in bundle'!$Q$6^2-4*(T179+V$7)*'Temperature in bundle'!$Q$7)^0.5)/2/(T179+V$7)))</f>
        <v/>
      </c>
      <c r="V179" s="98" t="str">
        <f t="shared" ref="V179:V242" si="73">IF($A179="","",T179*U179^2)</f>
        <v/>
      </c>
      <c r="W179" s="101" t="str">
        <f t="shared" si="58"/>
        <v/>
      </c>
      <c r="Y179" s="100" t="str">
        <f t="shared" ref="Y179:Y242" si="74">IF($A179="","",$J179*(1+0.0039*W179))</f>
        <v/>
      </c>
      <c r="Z179" s="119" t="str">
        <f>IF('Temperature in bundle'!$P$4="Current = 1A per pair",2,IF($A179="","",('Temperature in bundle'!$Q$6-('Temperature in bundle'!$Q$6^2-4*(Y179+AA$7)*'Temperature in bundle'!$Q$7)^0.5)/2/(Y179+AA$7)))</f>
        <v/>
      </c>
      <c r="AA179" s="98" t="str">
        <f t="shared" ref="AA179:AA242" si="75">IF($A179="","",Y179*Z179^2)</f>
        <v/>
      </c>
      <c r="AB179" s="101" t="str">
        <f t="shared" si="59"/>
        <v/>
      </c>
    </row>
    <row r="180" spans="1:28">
      <c r="A180" t="str">
        <f t="shared" si="60"/>
        <v/>
      </c>
      <c r="B180" s="113">
        <v>0.5</v>
      </c>
      <c r="C180" s="113">
        <f>SQRT(3)/2*7</f>
        <v>6.0621778264910704</v>
      </c>
      <c r="D180" s="113">
        <f t="shared" si="62"/>
        <v>6.0827625302982193</v>
      </c>
      <c r="E180" s="113" t="str">
        <f t="shared" ref="E180:F243" si="76">IF($A180="","",B180)</f>
        <v/>
      </c>
      <c r="F180" s="113" t="str">
        <f t="shared" si="76"/>
        <v/>
      </c>
      <c r="G180" s="113" t="str">
        <f t="shared" si="61"/>
        <v/>
      </c>
      <c r="J180" s="116" t="str">
        <f t="shared" ref="J180:J243" si="77">IF($A180="","",$E$10)</f>
        <v/>
      </c>
      <c r="K180" s="119" t="str">
        <f t="shared" si="69"/>
        <v/>
      </c>
      <c r="L180" s="98" t="str">
        <f t="shared" si="70"/>
        <v/>
      </c>
      <c r="M180" s="101" t="str">
        <f t="shared" ref="M180:M243" si="78">IF($A180="","",L$3+L$4*(1-3.63*$G180^2/$E$15))</f>
        <v/>
      </c>
      <c r="O180" s="100" t="str">
        <f t="shared" si="71"/>
        <v/>
      </c>
      <c r="P180" s="119" t="str">
        <f>IF('Temperature in bundle'!$P$4="Current = 1A per pair",2,IF($A180="","",('Temperature in bundle'!$Q$6-('Temperature in bundle'!$Q$6^2-4*(O180+Q$7)*'Temperature in bundle'!$Q$7)^0.5)/2/(O180+Q$7)))</f>
        <v/>
      </c>
      <c r="Q180" s="98" t="str">
        <f t="shared" ref="Q180:Q243" si="79">IF($A180="","",O180*P180^2)</f>
        <v/>
      </c>
      <c r="R180" s="101" t="str">
        <f t="shared" ref="R180:R243" si="80">IF($A180="","",Q$3+Q$4*(1-3.63*$G180^2/$E$15))</f>
        <v/>
      </c>
      <c r="T180" s="100" t="str">
        <f t="shared" si="72"/>
        <v/>
      </c>
      <c r="U180" s="119" t="str">
        <f>IF('Temperature in bundle'!$P$4="Current = 1A per pair",2,IF($A180="","",('Temperature in bundle'!$Q$6-('Temperature in bundle'!$Q$6^2-4*(T180+V$7)*'Temperature in bundle'!$Q$7)^0.5)/2/(T180+V$7)))</f>
        <v/>
      </c>
      <c r="V180" s="98" t="str">
        <f t="shared" si="73"/>
        <v/>
      </c>
      <c r="W180" s="101" t="str">
        <f t="shared" ref="W180:W243" si="81">IF($A180="","",V$3+V$4*(1-3.63*$G180^2/$E$15))</f>
        <v/>
      </c>
      <c r="Y180" s="100" t="str">
        <f t="shared" si="74"/>
        <v/>
      </c>
      <c r="Z180" s="119" t="str">
        <f>IF('Temperature in bundle'!$P$4="Current = 1A per pair",2,IF($A180="","",('Temperature in bundle'!$Q$6-('Temperature in bundle'!$Q$6^2-4*(Y180+AA$7)*'Temperature in bundle'!$Q$7)^0.5)/2/(Y180+AA$7)))</f>
        <v/>
      </c>
      <c r="AA180" s="98" t="str">
        <f t="shared" si="75"/>
        <v/>
      </c>
      <c r="AB180" s="101" t="str">
        <f t="shared" ref="AB180:AB243" si="82">IF($A180="","",AA$3+AA$4*(1-3.63*$G180^2/$E$15))</f>
        <v/>
      </c>
    </row>
    <row r="181" spans="1:28">
      <c r="A181" t="str">
        <f t="shared" ref="A181:A244" si="83">IF(A180&lt;E$15,A180+1,"")</f>
        <v/>
      </c>
      <c r="B181" s="113">
        <v>-0.5</v>
      </c>
      <c r="C181" s="113">
        <f>SQRT(3)/2*7</f>
        <v>6.0621778264910704</v>
      </c>
      <c r="D181" s="113">
        <f t="shared" si="62"/>
        <v>6.0827625302982193</v>
      </c>
      <c r="E181" s="113" t="str">
        <f t="shared" si="76"/>
        <v/>
      </c>
      <c r="F181" s="113" t="str">
        <f t="shared" si="76"/>
        <v/>
      </c>
      <c r="G181" s="113" t="str">
        <f t="shared" ref="G181:G244" si="84">IF(A181="","",((E$50-E181)^2+(F$50-F181)^2)^0.5)</f>
        <v/>
      </c>
      <c r="J181" s="116" t="str">
        <f t="shared" si="77"/>
        <v/>
      </c>
      <c r="K181" s="119" t="str">
        <f t="shared" si="69"/>
        <v/>
      </c>
      <c r="L181" s="98" t="str">
        <f t="shared" si="70"/>
        <v/>
      </c>
      <c r="M181" s="101" t="str">
        <f t="shared" si="78"/>
        <v/>
      </c>
      <c r="O181" s="100" t="str">
        <f t="shared" si="71"/>
        <v/>
      </c>
      <c r="P181" s="119" t="str">
        <f>IF('Temperature in bundle'!$P$4="Current = 1A per pair",2,IF($A181="","",('Temperature in bundle'!$Q$6-('Temperature in bundle'!$Q$6^2-4*(O181+Q$7)*'Temperature in bundle'!$Q$7)^0.5)/2/(O181+Q$7)))</f>
        <v/>
      </c>
      <c r="Q181" s="98" t="str">
        <f t="shared" si="79"/>
        <v/>
      </c>
      <c r="R181" s="101" t="str">
        <f t="shared" si="80"/>
        <v/>
      </c>
      <c r="T181" s="100" t="str">
        <f t="shared" si="72"/>
        <v/>
      </c>
      <c r="U181" s="119" t="str">
        <f>IF('Temperature in bundle'!$P$4="Current = 1A per pair",2,IF($A181="","",('Temperature in bundle'!$Q$6-('Temperature in bundle'!$Q$6^2-4*(T181+V$7)*'Temperature in bundle'!$Q$7)^0.5)/2/(T181+V$7)))</f>
        <v/>
      </c>
      <c r="V181" s="98" t="str">
        <f t="shared" si="73"/>
        <v/>
      </c>
      <c r="W181" s="101" t="str">
        <f t="shared" si="81"/>
        <v/>
      </c>
      <c r="Y181" s="100" t="str">
        <f t="shared" si="74"/>
        <v/>
      </c>
      <c r="Z181" s="119" t="str">
        <f>IF('Temperature in bundle'!$P$4="Current = 1A per pair",2,IF($A181="","",('Temperature in bundle'!$Q$6-('Temperature in bundle'!$Q$6^2-4*(Y181+AA$7)*'Temperature in bundle'!$Q$7)^0.5)/2/(Y181+AA$7)))</f>
        <v/>
      </c>
      <c r="AA181" s="98" t="str">
        <f t="shared" si="75"/>
        <v/>
      </c>
      <c r="AB181" s="101" t="str">
        <f t="shared" si="82"/>
        <v/>
      </c>
    </row>
    <row r="182" spans="1:28">
      <c r="A182" t="str">
        <f t="shared" si="83"/>
        <v/>
      </c>
      <c r="B182" s="113">
        <v>-5</v>
      </c>
      <c r="C182" s="113">
        <f>SQRT(3)/2*4</f>
        <v>3.4641016151377544</v>
      </c>
      <c r="D182" s="113">
        <f t="shared" ref="D182:D245" si="85">(B182^2+C182^2)^0.5</f>
        <v>6.0827625302982193</v>
      </c>
      <c r="E182" s="113" t="str">
        <f t="shared" si="76"/>
        <v/>
      </c>
      <c r="F182" s="113" t="str">
        <f t="shared" si="76"/>
        <v/>
      </c>
      <c r="G182" s="113" t="str">
        <f t="shared" si="84"/>
        <v/>
      </c>
      <c r="J182" s="116" t="str">
        <f t="shared" si="77"/>
        <v/>
      </c>
      <c r="K182" s="119" t="str">
        <f t="shared" si="69"/>
        <v/>
      </c>
      <c r="L182" s="98" t="str">
        <f t="shared" si="70"/>
        <v/>
      </c>
      <c r="M182" s="101" t="str">
        <f t="shared" si="78"/>
        <v/>
      </c>
      <c r="O182" s="100" t="str">
        <f t="shared" si="71"/>
        <v/>
      </c>
      <c r="P182" s="119" t="str">
        <f>IF('Temperature in bundle'!$P$4="Current = 1A per pair",2,IF($A182="","",('Temperature in bundle'!$Q$6-('Temperature in bundle'!$Q$6^2-4*(O182+Q$7)*'Temperature in bundle'!$Q$7)^0.5)/2/(O182+Q$7)))</f>
        <v/>
      </c>
      <c r="Q182" s="98" t="str">
        <f t="shared" si="79"/>
        <v/>
      </c>
      <c r="R182" s="101" t="str">
        <f t="shared" si="80"/>
        <v/>
      </c>
      <c r="T182" s="100" t="str">
        <f t="shared" si="72"/>
        <v/>
      </c>
      <c r="U182" s="119" t="str">
        <f>IF('Temperature in bundle'!$P$4="Current = 1A per pair",2,IF($A182="","",('Temperature in bundle'!$Q$6-('Temperature in bundle'!$Q$6^2-4*(T182+V$7)*'Temperature in bundle'!$Q$7)^0.5)/2/(T182+V$7)))</f>
        <v/>
      </c>
      <c r="V182" s="98" t="str">
        <f t="shared" si="73"/>
        <v/>
      </c>
      <c r="W182" s="101" t="str">
        <f t="shared" si="81"/>
        <v/>
      </c>
      <c r="Y182" s="100" t="str">
        <f t="shared" si="74"/>
        <v/>
      </c>
      <c r="Z182" s="119" t="str">
        <f>IF('Temperature in bundle'!$P$4="Current = 1A per pair",2,IF($A182="","",('Temperature in bundle'!$Q$6-('Temperature in bundle'!$Q$6^2-4*(Y182+AA$7)*'Temperature in bundle'!$Q$7)^0.5)/2/(Y182+AA$7)))</f>
        <v/>
      </c>
      <c r="AA182" s="98" t="str">
        <f t="shared" si="75"/>
        <v/>
      </c>
      <c r="AB182" s="101" t="str">
        <f t="shared" si="82"/>
        <v/>
      </c>
    </row>
    <row r="183" spans="1:28">
      <c r="A183" t="str">
        <f t="shared" si="83"/>
        <v/>
      </c>
      <c r="B183" s="113">
        <v>-5.5</v>
      </c>
      <c r="C183" s="113">
        <f>SQRT(3)/2*3</f>
        <v>2.598076211353316</v>
      </c>
      <c r="D183" s="113">
        <f t="shared" si="85"/>
        <v>6.0827625302982193</v>
      </c>
      <c r="E183" s="113" t="str">
        <f t="shared" si="76"/>
        <v/>
      </c>
      <c r="F183" s="113" t="str">
        <f t="shared" si="76"/>
        <v/>
      </c>
      <c r="G183" s="113" t="str">
        <f t="shared" si="84"/>
        <v/>
      </c>
      <c r="J183" s="116" t="str">
        <f t="shared" si="77"/>
        <v/>
      </c>
      <c r="K183" s="119" t="str">
        <f t="shared" si="69"/>
        <v/>
      </c>
      <c r="L183" s="98" t="str">
        <f t="shared" si="70"/>
        <v/>
      </c>
      <c r="M183" s="101" t="str">
        <f t="shared" si="78"/>
        <v/>
      </c>
      <c r="O183" s="100" t="str">
        <f t="shared" si="71"/>
        <v/>
      </c>
      <c r="P183" s="119" t="str">
        <f>IF('Temperature in bundle'!$P$4="Current = 1A per pair",2,IF($A183="","",('Temperature in bundle'!$Q$6-('Temperature in bundle'!$Q$6^2-4*(O183+Q$7)*'Temperature in bundle'!$Q$7)^0.5)/2/(O183+Q$7)))</f>
        <v/>
      </c>
      <c r="Q183" s="98" t="str">
        <f t="shared" si="79"/>
        <v/>
      </c>
      <c r="R183" s="101" t="str">
        <f t="shared" si="80"/>
        <v/>
      </c>
      <c r="T183" s="100" t="str">
        <f t="shared" si="72"/>
        <v/>
      </c>
      <c r="U183" s="119" t="str">
        <f>IF('Temperature in bundle'!$P$4="Current = 1A per pair",2,IF($A183="","",('Temperature in bundle'!$Q$6-('Temperature in bundle'!$Q$6^2-4*(T183+V$7)*'Temperature in bundle'!$Q$7)^0.5)/2/(T183+V$7)))</f>
        <v/>
      </c>
      <c r="V183" s="98" t="str">
        <f t="shared" si="73"/>
        <v/>
      </c>
      <c r="W183" s="101" t="str">
        <f t="shared" si="81"/>
        <v/>
      </c>
      <c r="Y183" s="100" t="str">
        <f t="shared" si="74"/>
        <v/>
      </c>
      <c r="Z183" s="119" t="str">
        <f>IF('Temperature in bundle'!$P$4="Current = 1A per pair",2,IF($A183="","",('Temperature in bundle'!$Q$6-('Temperature in bundle'!$Q$6^2-4*(Y183+AA$7)*'Temperature in bundle'!$Q$7)^0.5)/2/(Y183+AA$7)))</f>
        <v/>
      </c>
      <c r="AA183" s="98" t="str">
        <f t="shared" si="75"/>
        <v/>
      </c>
      <c r="AB183" s="101" t="str">
        <f t="shared" si="82"/>
        <v/>
      </c>
    </row>
    <row r="184" spans="1:28">
      <c r="A184" t="str">
        <f t="shared" si="83"/>
        <v/>
      </c>
      <c r="B184" s="113">
        <v>-5.5</v>
      </c>
      <c r="C184" s="113">
        <f>(SQRT(3)/2*3)*-1</f>
        <v>-2.598076211353316</v>
      </c>
      <c r="D184" s="113">
        <f t="shared" si="85"/>
        <v>6.0827625302982193</v>
      </c>
      <c r="E184" s="113" t="str">
        <f t="shared" si="76"/>
        <v/>
      </c>
      <c r="F184" s="113" t="str">
        <f t="shared" si="76"/>
        <v/>
      </c>
      <c r="G184" s="113" t="str">
        <f t="shared" si="84"/>
        <v/>
      </c>
      <c r="J184" s="116" t="str">
        <f t="shared" si="77"/>
        <v/>
      </c>
      <c r="K184" s="119" t="str">
        <f t="shared" si="69"/>
        <v/>
      </c>
      <c r="L184" s="98" t="str">
        <f t="shared" si="70"/>
        <v/>
      </c>
      <c r="M184" s="101" t="str">
        <f t="shared" si="78"/>
        <v/>
      </c>
      <c r="O184" s="100" t="str">
        <f t="shared" si="71"/>
        <v/>
      </c>
      <c r="P184" s="119" t="str">
        <f>IF('Temperature in bundle'!$P$4="Current = 1A per pair",2,IF($A184="","",('Temperature in bundle'!$Q$6-('Temperature in bundle'!$Q$6^2-4*(O184+Q$7)*'Temperature in bundle'!$Q$7)^0.5)/2/(O184+Q$7)))</f>
        <v/>
      </c>
      <c r="Q184" s="98" t="str">
        <f t="shared" si="79"/>
        <v/>
      </c>
      <c r="R184" s="101" t="str">
        <f t="shared" si="80"/>
        <v/>
      </c>
      <c r="T184" s="100" t="str">
        <f t="shared" si="72"/>
        <v/>
      </c>
      <c r="U184" s="119" t="str">
        <f>IF('Temperature in bundle'!$P$4="Current = 1A per pair",2,IF($A184="","",('Temperature in bundle'!$Q$6-('Temperature in bundle'!$Q$6^2-4*(T184+V$7)*'Temperature in bundle'!$Q$7)^0.5)/2/(T184+V$7)))</f>
        <v/>
      </c>
      <c r="V184" s="98" t="str">
        <f t="shared" si="73"/>
        <v/>
      </c>
      <c r="W184" s="101" t="str">
        <f t="shared" si="81"/>
        <v/>
      </c>
      <c r="Y184" s="100" t="str">
        <f t="shared" si="74"/>
        <v/>
      </c>
      <c r="Z184" s="119" t="str">
        <f>IF('Temperature in bundle'!$P$4="Current = 1A per pair",2,IF($A184="","",('Temperature in bundle'!$Q$6-('Temperature in bundle'!$Q$6^2-4*(Y184+AA$7)*'Temperature in bundle'!$Q$7)^0.5)/2/(Y184+AA$7)))</f>
        <v/>
      </c>
      <c r="AA184" s="98" t="str">
        <f t="shared" si="75"/>
        <v/>
      </c>
      <c r="AB184" s="101" t="str">
        <f t="shared" si="82"/>
        <v/>
      </c>
    </row>
    <row r="185" spans="1:28">
      <c r="A185" t="str">
        <f t="shared" si="83"/>
        <v/>
      </c>
      <c r="B185" s="113">
        <v>-5</v>
      </c>
      <c r="C185" s="113">
        <f>(SQRT(3)/2*4)*-1</f>
        <v>-3.4641016151377544</v>
      </c>
      <c r="D185" s="113">
        <f t="shared" si="85"/>
        <v>6.0827625302982193</v>
      </c>
      <c r="E185" s="113" t="str">
        <f t="shared" si="76"/>
        <v/>
      </c>
      <c r="F185" s="113" t="str">
        <f t="shared" si="76"/>
        <v/>
      </c>
      <c r="G185" s="113" t="str">
        <f t="shared" si="84"/>
        <v/>
      </c>
      <c r="J185" s="116" t="str">
        <f t="shared" si="77"/>
        <v/>
      </c>
      <c r="K185" s="119" t="str">
        <f t="shared" si="69"/>
        <v/>
      </c>
      <c r="L185" s="98" t="str">
        <f t="shared" si="70"/>
        <v/>
      </c>
      <c r="M185" s="101" t="str">
        <f t="shared" si="78"/>
        <v/>
      </c>
      <c r="O185" s="100" t="str">
        <f t="shared" si="71"/>
        <v/>
      </c>
      <c r="P185" s="119" t="str">
        <f>IF('Temperature in bundle'!$P$4="Current = 1A per pair",2,IF($A185="","",('Temperature in bundle'!$Q$6-('Temperature in bundle'!$Q$6^2-4*(O185+Q$7)*'Temperature in bundle'!$Q$7)^0.5)/2/(O185+Q$7)))</f>
        <v/>
      </c>
      <c r="Q185" s="98" t="str">
        <f t="shared" si="79"/>
        <v/>
      </c>
      <c r="R185" s="101" t="str">
        <f t="shared" si="80"/>
        <v/>
      </c>
      <c r="T185" s="100" t="str">
        <f t="shared" si="72"/>
        <v/>
      </c>
      <c r="U185" s="119" t="str">
        <f>IF('Temperature in bundle'!$P$4="Current = 1A per pair",2,IF($A185="","",('Temperature in bundle'!$Q$6-('Temperature in bundle'!$Q$6^2-4*(T185+V$7)*'Temperature in bundle'!$Q$7)^0.5)/2/(T185+V$7)))</f>
        <v/>
      </c>
      <c r="V185" s="98" t="str">
        <f t="shared" si="73"/>
        <v/>
      </c>
      <c r="W185" s="101" t="str">
        <f t="shared" si="81"/>
        <v/>
      </c>
      <c r="Y185" s="100" t="str">
        <f t="shared" si="74"/>
        <v/>
      </c>
      <c r="Z185" s="119" t="str">
        <f>IF('Temperature in bundle'!$P$4="Current = 1A per pair",2,IF($A185="","",('Temperature in bundle'!$Q$6-('Temperature in bundle'!$Q$6^2-4*(Y185+AA$7)*'Temperature in bundle'!$Q$7)^0.5)/2/(Y185+AA$7)))</f>
        <v/>
      </c>
      <c r="AA185" s="98" t="str">
        <f t="shared" si="75"/>
        <v/>
      </c>
      <c r="AB185" s="101" t="str">
        <f t="shared" si="82"/>
        <v/>
      </c>
    </row>
    <row r="186" spans="1:28">
      <c r="A186" t="str">
        <f t="shared" si="83"/>
        <v/>
      </c>
      <c r="B186" s="113">
        <v>-0.5</v>
      </c>
      <c r="C186" s="113">
        <f>(SQRT(3)/2*7)*-1</f>
        <v>-6.0621778264910704</v>
      </c>
      <c r="D186" s="113">
        <f t="shared" si="85"/>
        <v>6.0827625302982193</v>
      </c>
      <c r="E186" s="113" t="str">
        <f t="shared" si="76"/>
        <v/>
      </c>
      <c r="F186" s="113" t="str">
        <f t="shared" si="76"/>
        <v/>
      </c>
      <c r="G186" s="113" t="str">
        <f t="shared" si="84"/>
        <v/>
      </c>
      <c r="J186" s="116" t="str">
        <f t="shared" si="77"/>
        <v/>
      </c>
      <c r="K186" s="119" t="str">
        <f t="shared" si="69"/>
        <v/>
      </c>
      <c r="L186" s="98" t="str">
        <f t="shared" si="70"/>
        <v/>
      </c>
      <c r="M186" s="101" t="str">
        <f t="shared" si="78"/>
        <v/>
      </c>
      <c r="O186" s="100" t="str">
        <f t="shared" si="71"/>
        <v/>
      </c>
      <c r="P186" s="119" t="str">
        <f>IF('Temperature in bundle'!$P$4="Current = 1A per pair",2,IF($A186="","",('Temperature in bundle'!$Q$6-('Temperature in bundle'!$Q$6^2-4*(O186+Q$7)*'Temperature in bundle'!$Q$7)^0.5)/2/(O186+Q$7)))</f>
        <v/>
      </c>
      <c r="Q186" s="98" t="str">
        <f t="shared" si="79"/>
        <v/>
      </c>
      <c r="R186" s="101" t="str">
        <f t="shared" si="80"/>
        <v/>
      </c>
      <c r="T186" s="100" t="str">
        <f t="shared" si="72"/>
        <v/>
      </c>
      <c r="U186" s="119" t="str">
        <f>IF('Temperature in bundle'!$P$4="Current = 1A per pair",2,IF($A186="","",('Temperature in bundle'!$Q$6-('Temperature in bundle'!$Q$6^2-4*(T186+V$7)*'Temperature in bundle'!$Q$7)^0.5)/2/(T186+V$7)))</f>
        <v/>
      </c>
      <c r="V186" s="98" t="str">
        <f t="shared" si="73"/>
        <v/>
      </c>
      <c r="W186" s="101" t="str">
        <f t="shared" si="81"/>
        <v/>
      </c>
      <c r="Y186" s="100" t="str">
        <f t="shared" si="74"/>
        <v/>
      </c>
      <c r="Z186" s="119" t="str">
        <f>IF('Temperature in bundle'!$P$4="Current = 1A per pair",2,IF($A186="","",('Temperature in bundle'!$Q$6-('Temperature in bundle'!$Q$6^2-4*(Y186+AA$7)*'Temperature in bundle'!$Q$7)^0.5)/2/(Y186+AA$7)))</f>
        <v/>
      </c>
      <c r="AA186" s="98" t="str">
        <f t="shared" si="75"/>
        <v/>
      </c>
      <c r="AB186" s="101" t="str">
        <f t="shared" si="82"/>
        <v/>
      </c>
    </row>
    <row r="187" spans="1:28">
      <c r="A187" t="str">
        <f t="shared" si="83"/>
        <v/>
      </c>
      <c r="B187" s="113">
        <v>0.5</v>
      </c>
      <c r="C187" s="113">
        <f>(SQRT(3)/2*7)*-1</f>
        <v>-6.0621778264910704</v>
      </c>
      <c r="D187" s="113">
        <f t="shared" si="85"/>
        <v>6.0827625302982193</v>
      </c>
      <c r="E187" s="113" t="str">
        <f t="shared" si="76"/>
        <v/>
      </c>
      <c r="F187" s="113" t="str">
        <f t="shared" si="76"/>
        <v/>
      </c>
      <c r="G187" s="113" t="str">
        <f t="shared" si="84"/>
        <v/>
      </c>
      <c r="J187" s="116" t="str">
        <f t="shared" si="77"/>
        <v/>
      </c>
      <c r="K187" s="119" t="str">
        <f t="shared" si="69"/>
        <v/>
      </c>
      <c r="L187" s="98" t="str">
        <f t="shared" si="70"/>
        <v/>
      </c>
      <c r="M187" s="101" t="str">
        <f t="shared" si="78"/>
        <v/>
      </c>
      <c r="O187" s="100" t="str">
        <f t="shared" si="71"/>
        <v/>
      </c>
      <c r="P187" s="119" t="str">
        <f>IF('Temperature in bundle'!$P$4="Current = 1A per pair",2,IF($A187="","",('Temperature in bundle'!$Q$6-('Temperature in bundle'!$Q$6^2-4*(O187+Q$7)*'Temperature in bundle'!$Q$7)^0.5)/2/(O187+Q$7)))</f>
        <v/>
      </c>
      <c r="Q187" s="98" t="str">
        <f t="shared" si="79"/>
        <v/>
      </c>
      <c r="R187" s="101" t="str">
        <f t="shared" si="80"/>
        <v/>
      </c>
      <c r="T187" s="100" t="str">
        <f t="shared" si="72"/>
        <v/>
      </c>
      <c r="U187" s="119" t="str">
        <f>IF('Temperature in bundle'!$P$4="Current = 1A per pair",2,IF($A187="","",('Temperature in bundle'!$Q$6-('Temperature in bundle'!$Q$6^2-4*(T187+V$7)*'Temperature in bundle'!$Q$7)^0.5)/2/(T187+V$7)))</f>
        <v/>
      </c>
      <c r="V187" s="98" t="str">
        <f t="shared" si="73"/>
        <v/>
      </c>
      <c r="W187" s="101" t="str">
        <f t="shared" si="81"/>
        <v/>
      </c>
      <c r="Y187" s="100" t="str">
        <f t="shared" si="74"/>
        <v/>
      </c>
      <c r="Z187" s="119" t="str">
        <f>IF('Temperature in bundle'!$P$4="Current = 1A per pair",2,IF($A187="","",('Temperature in bundle'!$Q$6-('Temperature in bundle'!$Q$6^2-4*(Y187+AA$7)*'Temperature in bundle'!$Q$7)^0.5)/2/(Y187+AA$7)))</f>
        <v/>
      </c>
      <c r="AA187" s="98" t="str">
        <f t="shared" si="75"/>
        <v/>
      </c>
      <c r="AB187" s="101" t="str">
        <f t="shared" si="82"/>
        <v/>
      </c>
    </row>
    <row r="188" spans="1:28">
      <c r="A188" t="str">
        <f t="shared" si="83"/>
        <v/>
      </c>
      <c r="B188" s="113">
        <v>5</v>
      </c>
      <c r="C188" s="113">
        <f>(SQRT(3)/2*4)*-1</f>
        <v>-3.4641016151377544</v>
      </c>
      <c r="D188" s="113">
        <f t="shared" si="85"/>
        <v>6.0827625302982193</v>
      </c>
      <c r="E188" s="113" t="str">
        <f t="shared" si="76"/>
        <v/>
      </c>
      <c r="F188" s="113" t="str">
        <f t="shared" si="76"/>
        <v/>
      </c>
      <c r="G188" s="113" t="str">
        <f t="shared" si="84"/>
        <v/>
      </c>
      <c r="J188" s="116" t="str">
        <f t="shared" si="77"/>
        <v/>
      </c>
      <c r="K188" s="119" t="str">
        <f t="shared" si="69"/>
        <v/>
      </c>
      <c r="L188" s="98" t="str">
        <f t="shared" si="70"/>
        <v/>
      </c>
      <c r="M188" s="101" t="str">
        <f t="shared" si="78"/>
        <v/>
      </c>
      <c r="O188" s="100" t="str">
        <f t="shared" si="71"/>
        <v/>
      </c>
      <c r="P188" s="119" t="str">
        <f>IF('Temperature in bundle'!$P$4="Current = 1A per pair",2,IF($A188="","",('Temperature in bundle'!$Q$6-('Temperature in bundle'!$Q$6^2-4*(O188+Q$7)*'Temperature in bundle'!$Q$7)^0.5)/2/(O188+Q$7)))</f>
        <v/>
      </c>
      <c r="Q188" s="98" t="str">
        <f t="shared" si="79"/>
        <v/>
      </c>
      <c r="R188" s="101" t="str">
        <f t="shared" si="80"/>
        <v/>
      </c>
      <c r="T188" s="100" t="str">
        <f t="shared" si="72"/>
        <v/>
      </c>
      <c r="U188" s="119" t="str">
        <f>IF('Temperature in bundle'!$P$4="Current = 1A per pair",2,IF($A188="","",('Temperature in bundle'!$Q$6-('Temperature in bundle'!$Q$6^2-4*(T188+V$7)*'Temperature in bundle'!$Q$7)^0.5)/2/(T188+V$7)))</f>
        <v/>
      </c>
      <c r="V188" s="98" t="str">
        <f t="shared" si="73"/>
        <v/>
      </c>
      <c r="W188" s="101" t="str">
        <f t="shared" si="81"/>
        <v/>
      </c>
      <c r="Y188" s="100" t="str">
        <f t="shared" si="74"/>
        <v/>
      </c>
      <c r="Z188" s="119" t="str">
        <f>IF('Temperature in bundle'!$P$4="Current = 1A per pair",2,IF($A188="","",('Temperature in bundle'!$Q$6-('Temperature in bundle'!$Q$6^2-4*(Y188+AA$7)*'Temperature in bundle'!$Q$7)^0.5)/2/(Y188+AA$7)))</f>
        <v/>
      </c>
      <c r="AA188" s="98" t="str">
        <f t="shared" si="75"/>
        <v/>
      </c>
      <c r="AB188" s="101" t="str">
        <f t="shared" si="82"/>
        <v/>
      </c>
    </row>
    <row r="189" spans="1:28">
      <c r="A189" t="str">
        <f t="shared" si="83"/>
        <v/>
      </c>
      <c r="B189" s="113">
        <v>5.5</v>
      </c>
      <c r="C189" s="113">
        <f>(SQRT(3)/2*3)*-1</f>
        <v>-2.598076211353316</v>
      </c>
      <c r="D189" s="113">
        <f t="shared" si="85"/>
        <v>6.0827625302982193</v>
      </c>
      <c r="E189" s="113" t="str">
        <f t="shared" si="76"/>
        <v/>
      </c>
      <c r="F189" s="113" t="str">
        <f t="shared" si="76"/>
        <v/>
      </c>
      <c r="G189" s="113" t="str">
        <f t="shared" si="84"/>
        <v/>
      </c>
      <c r="J189" s="116" t="str">
        <f t="shared" si="77"/>
        <v/>
      </c>
      <c r="K189" s="119" t="str">
        <f t="shared" si="69"/>
        <v/>
      </c>
      <c r="L189" s="98" t="str">
        <f t="shared" si="70"/>
        <v/>
      </c>
      <c r="M189" s="101" t="str">
        <f t="shared" si="78"/>
        <v/>
      </c>
      <c r="O189" s="100" t="str">
        <f t="shared" si="71"/>
        <v/>
      </c>
      <c r="P189" s="119" t="str">
        <f>IF('Temperature in bundle'!$P$4="Current = 1A per pair",2,IF($A189="","",('Temperature in bundle'!$Q$6-('Temperature in bundle'!$Q$6^2-4*(O189+Q$7)*'Temperature in bundle'!$Q$7)^0.5)/2/(O189+Q$7)))</f>
        <v/>
      </c>
      <c r="Q189" s="98" t="str">
        <f t="shared" si="79"/>
        <v/>
      </c>
      <c r="R189" s="101" t="str">
        <f t="shared" si="80"/>
        <v/>
      </c>
      <c r="T189" s="100" t="str">
        <f t="shared" si="72"/>
        <v/>
      </c>
      <c r="U189" s="119" t="str">
        <f>IF('Temperature in bundle'!$P$4="Current = 1A per pair",2,IF($A189="","",('Temperature in bundle'!$Q$6-('Temperature in bundle'!$Q$6^2-4*(T189+V$7)*'Temperature in bundle'!$Q$7)^0.5)/2/(T189+V$7)))</f>
        <v/>
      </c>
      <c r="V189" s="98" t="str">
        <f t="shared" si="73"/>
        <v/>
      </c>
      <c r="W189" s="101" t="str">
        <f t="shared" si="81"/>
        <v/>
      </c>
      <c r="Y189" s="100" t="str">
        <f t="shared" si="74"/>
        <v/>
      </c>
      <c r="Z189" s="119" t="str">
        <f>IF('Temperature in bundle'!$P$4="Current = 1A per pair",2,IF($A189="","",('Temperature in bundle'!$Q$6-('Temperature in bundle'!$Q$6^2-4*(Y189+AA$7)*'Temperature in bundle'!$Q$7)^0.5)/2/(Y189+AA$7)))</f>
        <v/>
      </c>
      <c r="AA189" s="98" t="str">
        <f t="shared" si="75"/>
        <v/>
      </c>
      <c r="AB189" s="101" t="str">
        <f t="shared" si="82"/>
        <v/>
      </c>
    </row>
    <row r="190" spans="1:28">
      <c r="A190" t="str">
        <f t="shared" si="83"/>
        <v/>
      </c>
      <c r="B190" s="113">
        <v>6</v>
      </c>
      <c r="C190" s="113">
        <f>SQRT(3)/2*2</f>
        <v>1.7320508075688772</v>
      </c>
      <c r="D190" s="113">
        <f t="shared" si="85"/>
        <v>6.2449979983983983</v>
      </c>
      <c r="E190" s="113" t="str">
        <f t="shared" si="76"/>
        <v/>
      </c>
      <c r="F190" s="113" t="str">
        <f t="shared" si="76"/>
        <v/>
      </c>
      <c r="G190" s="113" t="str">
        <f t="shared" si="84"/>
        <v/>
      </c>
      <c r="J190" s="116" t="str">
        <f t="shared" si="77"/>
        <v/>
      </c>
      <c r="K190" s="119" t="str">
        <f t="shared" si="69"/>
        <v/>
      </c>
      <c r="L190" s="98" t="str">
        <f t="shared" si="70"/>
        <v/>
      </c>
      <c r="M190" s="101" t="str">
        <f t="shared" si="78"/>
        <v/>
      </c>
      <c r="O190" s="100" t="str">
        <f t="shared" si="71"/>
        <v/>
      </c>
      <c r="P190" s="119" t="str">
        <f>IF('Temperature in bundle'!$P$4="Current = 1A per pair",2,IF($A190="","",('Temperature in bundle'!$Q$6-('Temperature in bundle'!$Q$6^2-4*(O190+Q$7)*'Temperature in bundle'!$Q$7)^0.5)/2/(O190+Q$7)))</f>
        <v/>
      </c>
      <c r="Q190" s="98" t="str">
        <f t="shared" si="79"/>
        <v/>
      </c>
      <c r="R190" s="101" t="str">
        <f t="shared" si="80"/>
        <v/>
      </c>
      <c r="T190" s="100" t="str">
        <f t="shared" si="72"/>
        <v/>
      </c>
      <c r="U190" s="119" t="str">
        <f>IF('Temperature in bundle'!$P$4="Current = 1A per pair",2,IF($A190="","",('Temperature in bundle'!$Q$6-('Temperature in bundle'!$Q$6^2-4*(T190+V$7)*'Temperature in bundle'!$Q$7)^0.5)/2/(T190+V$7)))</f>
        <v/>
      </c>
      <c r="V190" s="98" t="str">
        <f t="shared" si="73"/>
        <v/>
      </c>
      <c r="W190" s="101" t="str">
        <f t="shared" si="81"/>
        <v/>
      </c>
      <c r="Y190" s="100" t="str">
        <f t="shared" si="74"/>
        <v/>
      </c>
      <c r="Z190" s="119" t="str">
        <f>IF('Temperature in bundle'!$P$4="Current = 1A per pair",2,IF($A190="","",('Temperature in bundle'!$Q$6-('Temperature in bundle'!$Q$6^2-4*(Y190+AA$7)*'Temperature in bundle'!$Q$7)^0.5)/2/(Y190+AA$7)))</f>
        <v/>
      </c>
      <c r="AA190" s="98" t="str">
        <f t="shared" si="75"/>
        <v/>
      </c>
      <c r="AB190" s="101" t="str">
        <f t="shared" si="82"/>
        <v/>
      </c>
    </row>
    <row r="191" spans="1:28">
      <c r="A191" t="str">
        <f t="shared" si="83"/>
        <v/>
      </c>
      <c r="B191" s="113">
        <v>4.5</v>
      </c>
      <c r="C191" s="113">
        <f>SQRT(3)/2*5</f>
        <v>4.3301270189221928</v>
      </c>
      <c r="D191" s="113">
        <f t="shared" si="85"/>
        <v>6.2449979983983983</v>
      </c>
      <c r="E191" s="113" t="str">
        <f t="shared" si="76"/>
        <v/>
      </c>
      <c r="F191" s="113" t="str">
        <f t="shared" si="76"/>
        <v/>
      </c>
      <c r="G191" s="113" t="str">
        <f t="shared" si="84"/>
        <v/>
      </c>
      <c r="J191" s="116" t="str">
        <f t="shared" si="77"/>
        <v/>
      </c>
      <c r="K191" s="119" t="str">
        <f t="shared" si="69"/>
        <v/>
      </c>
      <c r="L191" s="98" t="str">
        <f t="shared" si="70"/>
        <v/>
      </c>
      <c r="M191" s="101" t="str">
        <f t="shared" si="78"/>
        <v/>
      </c>
      <c r="O191" s="100" t="str">
        <f t="shared" si="71"/>
        <v/>
      </c>
      <c r="P191" s="119" t="str">
        <f>IF('Temperature in bundle'!$P$4="Current = 1A per pair",2,IF($A191="","",('Temperature in bundle'!$Q$6-('Temperature in bundle'!$Q$6^2-4*(O191+Q$7)*'Temperature in bundle'!$Q$7)^0.5)/2/(O191+Q$7)))</f>
        <v/>
      </c>
      <c r="Q191" s="98" t="str">
        <f t="shared" si="79"/>
        <v/>
      </c>
      <c r="R191" s="101" t="str">
        <f t="shared" si="80"/>
        <v/>
      </c>
      <c r="T191" s="100" t="str">
        <f t="shared" si="72"/>
        <v/>
      </c>
      <c r="U191" s="119" t="str">
        <f>IF('Temperature in bundle'!$P$4="Current = 1A per pair",2,IF($A191="","",('Temperature in bundle'!$Q$6-('Temperature in bundle'!$Q$6^2-4*(T191+V$7)*'Temperature in bundle'!$Q$7)^0.5)/2/(T191+V$7)))</f>
        <v/>
      </c>
      <c r="V191" s="98" t="str">
        <f t="shared" si="73"/>
        <v/>
      </c>
      <c r="W191" s="101" t="str">
        <f t="shared" si="81"/>
        <v/>
      </c>
      <c r="Y191" s="100" t="str">
        <f t="shared" si="74"/>
        <v/>
      </c>
      <c r="Z191" s="119" t="str">
        <f>IF('Temperature in bundle'!$P$4="Current = 1A per pair",2,IF($A191="","",('Temperature in bundle'!$Q$6-('Temperature in bundle'!$Q$6^2-4*(Y191+AA$7)*'Temperature in bundle'!$Q$7)^0.5)/2/(Y191+AA$7)))</f>
        <v/>
      </c>
      <c r="AA191" s="98" t="str">
        <f t="shared" si="75"/>
        <v/>
      </c>
      <c r="AB191" s="101" t="str">
        <f t="shared" si="82"/>
        <v/>
      </c>
    </row>
    <row r="192" spans="1:28">
      <c r="A192" t="str">
        <f t="shared" si="83"/>
        <v/>
      </c>
      <c r="B192" s="113">
        <v>1.5</v>
      </c>
      <c r="C192" s="113">
        <f>SQRT(3)/2*7</f>
        <v>6.0621778264910704</v>
      </c>
      <c r="D192" s="113">
        <f t="shared" si="85"/>
        <v>6.2449979983983983</v>
      </c>
      <c r="E192" s="113" t="str">
        <f t="shared" si="76"/>
        <v/>
      </c>
      <c r="F192" s="113" t="str">
        <f t="shared" si="76"/>
        <v/>
      </c>
      <c r="G192" s="113" t="str">
        <f t="shared" si="84"/>
        <v/>
      </c>
      <c r="J192" s="116" t="str">
        <f t="shared" si="77"/>
        <v/>
      </c>
      <c r="K192" s="119" t="str">
        <f t="shared" si="69"/>
        <v/>
      </c>
      <c r="L192" s="98" t="str">
        <f t="shared" si="70"/>
        <v/>
      </c>
      <c r="M192" s="101" t="str">
        <f t="shared" si="78"/>
        <v/>
      </c>
      <c r="O192" s="100" t="str">
        <f t="shared" si="71"/>
        <v/>
      </c>
      <c r="P192" s="119" t="str">
        <f>IF('Temperature in bundle'!$P$4="Current = 1A per pair",2,IF($A192="","",('Temperature in bundle'!$Q$6-('Temperature in bundle'!$Q$6^2-4*(O192+Q$7)*'Temperature in bundle'!$Q$7)^0.5)/2/(O192+Q$7)))</f>
        <v/>
      </c>
      <c r="Q192" s="98" t="str">
        <f t="shared" si="79"/>
        <v/>
      </c>
      <c r="R192" s="101" t="str">
        <f t="shared" si="80"/>
        <v/>
      </c>
      <c r="T192" s="100" t="str">
        <f t="shared" si="72"/>
        <v/>
      </c>
      <c r="U192" s="119" t="str">
        <f>IF('Temperature in bundle'!$P$4="Current = 1A per pair",2,IF($A192="","",('Temperature in bundle'!$Q$6-('Temperature in bundle'!$Q$6^2-4*(T192+V$7)*'Temperature in bundle'!$Q$7)^0.5)/2/(T192+V$7)))</f>
        <v/>
      </c>
      <c r="V192" s="98" t="str">
        <f t="shared" si="73"/>
        <v/>
      </c>
      <c r="W192" s="101" t="str">
        <f t="shared" si="81"/>
        <v/>
      </c>
      <c r="Y192" s="100" t="str">
        <f t="shared" si="74"/>
        <v/>
      </c>
      <c r="Z192" s="119" t="str">
        <f>IF('Temperature in bundle'!$P$4="Current = 1A per pair",2,IF($A192="","",('Temperature in bundle'!$Q$6-('Temperature in bundle'!$Q$6^2-4*(Y192+AA$7)*'Temperature in bundle'!$Q$7)^0.5)/2/(Y192+AA$7)))</f>
        <v/>
      </c>
      <c r="AA192" s="98" t="str">
        <f t="shared" si="75"/>
        <v/>
      </c>
      <c r="AB192" s="101" t="str">
        <f t="shared" si="82"/>
        <v/>
      </c>
    </row>
    <row r="193" spans="1:28">
      <c r="A193" t="str">
        <f t="shared" si="83"/>
        <v/>
      </c>
      <c r="B193" s="113">
        <v>-1.5</v>
      </c>
      <c r="C193" s="113">
        <f>SQRT(3)/2*7</f>
        <v>6.0621778264910704</v>
      </c>
      <c r="D193" s="113">
        <f t="shared" si="85"/>
        <v>6.2449979983983983</v>
      </c>
      <c r="E193" s="113" t="str">
        <f t="shared" si="76"/>
        <v/>
      </c>
      <c r="F193" s="113" t="str">
        <f t="shared" si="76"/>
        <v/>
      </c>
      <c r="G193" s="113" t="str">
        <f t="shared" si="84"/>
        <v/>
      </c>
      <c r="J193" s="116" t="str">
        <f t="shared" si="77"/>
        <v/>
      </c>
      <c r="K193" s="119" t="str">
        <f t="shared" si="69"/>
        <v/>
      </c>
      <c r="L193" s="98" t="str">
        <f t="shared" si="70"/>
        <v/>
      </c>
      <c r="M193" s="101" t="str">
        <f t="shared" si="78"/>
        <v/>
      </c>
      <c r="O193" s="100" t="str">
        <f t="shared" si="71"/>
        <v/>
      </c>
      <c r="P193" s="119" t="str">
        <f>IF('Temperature in bundle'!$P$4="Current = 1A per pair",2,IF($A193="","",('Temperature in bundle'!$Q$6-('Temperature in bundle'!$Q$6^2-4*(O193+Q$7)*'Temperature in bundle'!$Q$7)^0.5)/2/(O193+Q$7)))</f>
        <v/>
      </c>
      <c r="Q193" s="98" t="str">
        <f t="shared" si="79"/>
        <v/>
      </c>
      <c r="R193" s="101" t="str">
        <f t="shared" si="80"/>
        <v/>
      </c>
      <c r="T193" s="100" t="str">
        <f t="shared" si="72"/>
        <v/>
      </c>
      <c r="U193" s="119" t="str">
        <f>IF('Temperature in bundle'!$P$4="Current = 1A per pair",2,IF($A193="","",('Temperature in bundle'!$Q$6-('Temperature in bundle'!$Q$6^2-4*(T193+V$7)*'Temperature in bundle'!$Q$7)^0.5)/2/(T193+V$7)))</f>
        <v/>
      </c>
      <c r="V193" s="98" t="str">
        <f t="shared" si="73"/>
        <v/>
      </c>
      <c r="W193" s="101" t="str">
        <f t="shared" si="81"/>
        <v/>
      </c>
      <c r="Y193" s="100" t="str">
        <f t="shared" si="74"/>
        <v/>
      </c>
      <c r="Z193" s="119" t="str">
        <f>IF('Temperature in bundle'!$P$4="Current = 1A per pair",2,IF($A193="","",('Temperature in bundle'!$Q$6-('Temperature in bundle'!$Q$6^2-4*(Y193+AA$7)*'Temperature in bundle'!$Q$7)^0.5)/2/(Y193+AA$7)))</f>
        <v/>
      </c>
      <c r="AA193" s="98" t="str">
        <f t="shared" si="75"/>
        <v/>
      </c>
      <c r="AB193" s="101" t="str">
        <f t="shared" si="82"/>
        <v/>
      </c>
    </row>
    <row r="194" spans="1:28">
      <c r="A194" t="str">
        <f t="shared" si="83"/>
        <v/>
      </c>
      <c r="B194" s="113">
        <v>-4.5</v>
      </c>
      <c r="C194" s="113">
        <f>SQRT(3)/2*5</f>
        <v>4.3301270189221928</v>
      </c>
      <c r="D194" s="113">
        <f t="shared" si="85"/>
        <v>6.2449979983983983</v>
      </c>
      <c r="E194" s="113" t="str">
        <f t="shared" si="76"/>
        <v/>
      </c>
      <c r="F194" s="113" t="str">
        <f t="shared" si="76"/>
        <v/>
      </c>
      <c r="G194" s="113" t="str">
        <f t="shared" si="84"/>
        <v/>
      </c>
      <c r="J194" s="116" t="str">
        <f t="shared" si="77"/>
        <v/>
      </c>
      <c r="K194" s="119" t="str">
        <f t="shared" si="69"/>
        <v/>
      </c>
      <c r="L194" s="98" t="str">
        <f t="shared" si="70"/>
        <v/>
      </c>
      <c r="M194" s="101" t="str">
        <f t="shared" si="78"/>
        <v/>
      </c>
      <c r="O194" s="100" t="str">
        <f t="shared" si="71"/>
        <v/>
      </c>
      <c r="P194" s="119" t="str">
        <f>IF('Temperature in bundle'!$P$4="Current = 1A per pair",2,IF($A194="","",('Temperature in bundle'!$Q$6-('Temperature in bundle'!$Q$6^2-4*(O194+Q$7)*'Temperature in bundle'!$Q$7)^0.5)/2/(O194+Q$7)))</f>
        <v/>
      </c>
      <c r="Q194" s="98" t="str">
        <f t="shared" si="79"/>
        <v/>
      </c>
      <c r="R194" s="101" t="str">
        <f t="shared" si="80"/>
        <v/>
      </c>
      <c r="T194" s="100" t="str">
        <f t="shared" si="72"/>
        <v/>
      </c>
      <c r="U194" s="119" t="str">
        <f>IF('Temperature in bundle'!$P$4="Current = 1A per pair",2,IF($A194="","",('Temperature in bundle'!$Q$6-('Temperature in bundle'!$Q$6^2-4*(T194+V$7)*'Temperature in bundle'!$Q$7)^0.5)/2/(T194+V$7)))</f>
        <v/>
      </c>
      <c r="V194" s="98" t="str">
        <f t="shared" si="73"/>
        <v/>
      </c>
      <c r="W194" s="101" t="str">
        <f t="shared" si="81"/>
        <v/>
      </c>
      <c r="Y194" s="100" t="str">
        <f t="shared" si="74"/>
        <v/>
      </c>
      <c r="Z194" s="119" t="str">
        <f>IF('Temperature in bundle'!$P$4="Current = 1A per pair",2,IF($A194="","",('Temperature in bundle'!$Q$6-('Temperature in bundle'!$Q$6^2-4*(Y194+AA$7)*'Temperature in bundle'!$Q$7)^0.5)/2/(Y194+AA$7)))</f>
        <v/>
      </c>
      <c r="AA194" s="98" t="str">
        <f t="shared" si="75"/>
        <v/>
      </c>
      <c r="AB194" s="101" t="str">
        <f t="shared" si="82"/>
        <v/>
      </c>
    </row>
    <row r="195" spans="1:28">
      <c r="A195" t="str">
        <f t="shared" si="83"/>
        <v/>
      </c>
      <c r="B195" s="113">
        <v>-6</v>
      </c>
      <c r="C195" s="113">
        <f>SQRT(3)/2*2</f>
        <v>1.7320508075688772</v>
      </c>
      <c r="D195" s="113">
        <f t="shared" si="85"/>
        <v>6.2449979983983983</v>
      </c>
      <c r="E195" s="113" t="str">
        <f t="shared" si="76"/>
        <v/>
      </c>
      <c r="F195" s="113" t="str">
        <f t="shared" si="76"/>
        <v/>
      </c>
      <c r="G195" s="113" t="str">
        <f t="shared" si="84"/>
        <v/>
      </c>
      <c r="J195" s="116" t="str">
        <f t="shared" si="77"/>
        <v/>
      </c>
      <c r="K195" s="119" t="str">
        <f t="shared" si="69"/>
        <v/>
      </c>
      <c r="L195" s="98" t="str">
        <f t="shared" si="70"/>
        <v/>
      </c>
      <c r="M195" s="101" t="str">
        <f t="shared" si="78"/>
        <v/>
      </c>
      <c r="O195" s="100" t="str">
        <f t="shared" si="71"/>
        <v/>
      </c>
      <c r="P195" s="119" t="str">
        <f>IF('Temperature in bundle'!$P$4="Current = 1A per pair",2,IF($A195="","",('Temperature in bundle'!$Q$6-('Temperature in bundle'!$Q$6^2-4*(O195+Q$7)*'Temperature in bundle'!$Q$7)^0.5)/2/(O195+Q$7)))</f>
        <v/>
      </c>
      <c r="Q195" s="98" t="str">
        <f t="shared" si="79"/>
        <v/>
      </c>
      <c r="R195" s="101" t="str">
        <f t="shared" si="80"/>
        <v/>
      </c>
      <c r="T195" s="100" t="str">
        <f t="shared" si="72"/>
        <v/>
      </c>
      <c r="U195" s="119" t="str">
        <f>IF('Temperature in bundle'!$P$4="Current = 1A per pair",2,IF($A195="","",('Temperature in bundle'!$Q$6-('Temperature in bundle'!$Q$6^2-4*(T195+V$7)*'Temperature in bundle'!$Q$7)^0.5)/2/(T195+V$7)))</f>
        <v/>
      </c>
      <c r="V195" s="98" t="str">
        <f t="shared" si="73"/>
        <v/>
      </c>
      <c r="W195" s="101" t="str">
        <f t="shared" si="81"/>
        <v/>
      </c>
      <c r="Y195" s="100" t="str">
        <f t="shared" si="74"/>
        <v/>
      </c>
      <c r="Z195" s="119" t="str">
        <f>IF('Temperature in bundle'!$P$4="Current = 1A per pair",2,IF($A195="","",('Temperature in bundle'!$Q$6-('Temperature in bundle'!$Q$6^2-4*(Y195+AA$7)*'Temperature in bundle'!$Q$7)^0.5)/2/(Y195+AA$7)))</f>
        <v/>
      </c>
      <c r="AA195" s="98" t="str">
        <f t="shared" si="75"/>
        <v/>
      </c>
      <c r="AB195" s="101" t="str">
        <f t="shared" si="82"/>
        <v/>
      </c>
    </row>
    <row r="196" spans="1:28">
      <c r="A196" t="str">
        <f t="shared" si="83"/>
        <v/>
      </c>
      <c r="B196" s="113">
        <v>-6</v>
      </c>
      <c r="C196" s="113">
        <f>(SQRT(3)/2*2)*-1</f>
        <v>-1.7320508075688772</v>
      </c>
      <c r="D196" s="113">
        <f t="shared" si="85"/>
        <v>6.2449979983983983</v>
      </c>
      <c r="E196" s="113" t="str">
        <f t="shared" si="76"/>
        <v/>
      </c>
      <c r="F196" s="113" t="str">
        <f t="shared" si="76"/>
        <v/>
      </c>
      <c r="G196" s="113" t="str">
        <f t="shared" si="84"/>
        <v/>
      </c>
      <c r="J196" s="116" t="str">
        <f t="shared" si="77"/>
        <v/>
      </c>
      <c r="K196" s="119" t="str">
        <f t="shared" si="69"/>
        <v/>
      </c>
      <c r="L196" s="98" t="str">
        <f t="shared" si="70"/>
        <v/>
      </c>
      <c r="M196" s="101" t="str">
        <f t="shared" si="78"/>
        <v/>
      </c>
      <c r="O196" s="100" t="str">
        <f t="shared" si="71"/>
        <v/>
      </c>
      <c r="P196" s="119" t="str">
        <f>IF('Temperature in bundle'!$P$4="Current = 1A per pair",2,IF($A196="","",('Temperature in bundle'!$Q$6-('Temperature in bundle'!$Q$6^2-4*(O196+Q$7)*'Temperature in bundle'!$Q$7)^0.5)/2/(O196+Q$7)))</f>
        <v/>
      </c>
      <c r="Q196" s="98" t="str">
        <f t="shared" si="79"/>
        <v/>
      </c>
      <c r="R196" s="101" t="str">
        <f t="shared" si="80"/>
        <v/>
      </c>
      <c r="T196" s="100" t="str">
        <f t="shared" si="72"/>
        <v/>
      </c>
      <c r="U196" s="119" t="str">
        <f>IF('Temperature in bundle'!$P$4="Current = 1A per pair",2,IF($A196="","",('Temperature in bundle'!$Q$6-('Temperature in bundle'!$Q$6^2-4*(T196+V$7)*'Temperature in bundle'!$Q$7)^0.5)/2/(T196+V$7)))</f>
        <v/>
      </c>
      <c r="V196" s="98" t="str">
        <f t="shared" si="73"/>
        <v/>
      </c>
      <c r="W196" s="101" t="str">
        <f t="shared" si="81"/>
        <v/>
      </c>
      <c r="Y196" s="100" t="str">
        <f t="shared" si="74"/>
        <v/>
      </c>
      <c r="Z196" s="119" t="str">
        <f>IF('Temperature in bundle'!$P$4="Current = 1A per pair",2,IF($A196="","",('Temperature in bundle'!$Q$6-('Temperature in bundle'!$Q$6^2-4*(Y196+AA$7)*'Temperature in bundle'!$Q$7)^0.5)/2/(Y196+AA$7)))</f>
        <v/>
      </c>
      <c r="AA196" s="98" t="str">
        <f t="shared" si="75"/>
        <v/>
      </c>
      <c r="AB196" s="101" t="str">
        <f t="shared" si="82"/>
        <v/>
      </c>
    </row>
    <row r="197" spans="1:28">
      <c r="A197" t="str">
        <f t="shared" si="83"/>
        <v/>
      </c>
      <c r="B197" s="113">
        <v>-4.5</v>
      </c>
      <c r="C197" s="113">
        <f>(SQRT(3)/2*5)*-1</f>
        <v>-4.3301270189221928</v>
      </c>
      <c r="D197" s="113">
        <f t="shared" si="85"/>
        <v>6.2449979983983983</v>
      </c>
      <c r="E197" s="113" t="str">
        <f t="shared" si="76"/>
        <v/>
      </c>
      <c r="F197" s="113" t="str">
        <f t="shared" si="76"/>
        <v/>
      </c>
      <c r="G197" s="113" t="str">
        <f t="shared" si="84"/>
        <v/>
      </c>
      <c r="J197" s="116" t="str">
        <f t="shared" si="77"/>
        <v/>
      </c>
      <c r="K197" s="119" t="str">
        <f t="shared" si="69"/>
        <v/>
      </c>
      <c r="L197" s="98" t="str">
        <f t="shared" si="70"/>
        <v/>
      </c>
      <c r="M197" s="101" t="str">
        <f t="shared" si="78"/>
        <v/>
      </c>
      <c r="O197" s="100" t="str">
        <f t="shared" si="71"/>
        <v/>
      </c>
      <c r="P197" s="119" t="str">
        <f>IF('Temperature in bundle'!$P$4="Current = 1A per pair",2,IF($A197="","",('Temperature in bundle'!$Q$6-('Temperature in bundle'!$Q$6^2-4*(O197+Q$7)*'Temperature in bundle'!$Q$7)^0.5)/2/(O197+Q$7)))</f>
        <v/>
      </c>
      <c r="Q197" s="98" t="str">
        <f t="shared" si="79"/>
        <v/>
      </c>
      <c r="R197" s="101" t="str">
        <f t="shared" si="80"/>
        <v/>
      </c>
      <c r="T197" s="100" t="str">
        <f t="shared" si="72"/>
        <v/>
      </c>
      <c r="U197" s="119" t="str">
        <f>IF('Temperature in bundle'!$P$4="Current = 1A per pair",2,IF($A197="","",('Temperature in bundle'!$Q$6-('Temperature in bundle'!$Q$6^2-4*(T197+V$7)*'Temperature in bundle'!$Q$7)^0.5)/2/(T197+V$7)))</f>
        <v/>
      </c>
      <c r="V197" s="98" t="str">
        <f t="shared" si="73"/>
        <v/>
      </c>
      <c r="W197" s="101" t="str">
        <f t="shared" si="81"/>
        <v/>
      </c>
      <c r="Y197" s="100" t="str">
        <f t="shared" si="74"/>
        <v/>
      </c>
      <c r="Z197" s="119" t="str">
        <f>IF('Temperature in bundle'!$P$4="Current = 1A per pair",2,IF($A197="","",('Temperature in bundle'!$Q$6-('Temperature in bundle'!$Q$6^2-4*(Y197+AA$7)*'Temperature in bundle'!$Q$7)^0.5)/2/(Y197+AA$7)))</f>
        <v/>
      </c>
      <c r="AA197" s="98" t="str">
        <f t="shared" si="75"/>
        <v/>
      </c>
      <c r="AB197" s="101" t="str">
        <f t="shared" si="82"/>
        <v/>
      </c>
    </row>
    <row r="198" spans="1:28">
      <c r="A198" t="str">
        <f t="shared" si="83"/>
        <v/>
      </c>
      <c r="B198" s="113">
        <v>-1.5</v>
      </c>
      <c r="C198" s="113">
        <f>(SQRT(3)/2*7)*-1</f>
        <v>-6.0621778264910704</v>
      </c>
      <c r="D198" s="113">
        <f t="shared" si="85"/>
        <v>6.2449979983983983</v>
      </c>
      <c r="E198" s="113" t="str">
        <f t="shared" si="76"/>
        <v/>
      </c>
      <c r="F198" s="113" t="str">
        <f t="shared" si="76"/>
        <v/>
      </c>
      <c r="G198" s="113" t="str">
        <f t="shared" si="84"/>
        <v/>
      </c>
      <c r="J198" s="116" t="str">
        <f t="shared" si="77"/>
        <v/>
      </c>
      <c r="K198" s="119" t="str">
        <f t="shared" si="69"/>
        <v/>
      </c>
      <c r="L198" s="98" t="str">
        <f t="shared" si="70"/>
        <v/>
      </c>
      <c r="M198" s="101" t="str">
        <f t="shared" si="78"/>
        <v/>
      </c>
      <c r="O198" s="100" t="str">
        <f t="shared" si="71"/>
        <v/>
      </c>
      <c r="P198" s="119" t="str">
        <f>IF('Temperature in bundle'!$P$4="Current = 1A per pair",2,IF($A198="","",('Temperature in bundle'!$Q$6-('Temperature in bundle'!$Q$6^2-4*(O198+Q$7)*'Temperature in bundle'!$Q$7)^0.5)/2/(O198+Q$7)))</f>
        <v/>
      </c>
      <c r="Q198" s="98" t="str">
        <f t="shared" si="79"/>
        <v/>
      </c>
      <c r="R198" s="101" t="str">
        <f t="shared" si="80"/>
        <v/>
      </c>
      <c r="T198" s="100" t="str">
        <f t="shared" si="72"/>
        <v/>
      </c>
      <c r="U198" s="119" t="str">
        <f>IF('Temperature in bundle'!$P$4="Current = 1A per pair",2,IF($A198="","",('Temperature in bundle'!$Q$6-('Temperature in bundle'!$Q$6^2-4*(T198+V$7)*'Temperature in bundle'!$Q$7)^0.5)/2/(T198+V$7)))</f>
        <v/>
      </c>
      <c r="V198" s="98" t="str">
        <f t="shared" si="73"/>
        <v/>
      </c>
      <c r="W198" s="101" t="str">
        <f t="shared" si="81"/>
        <v/>
      </c>
      <c r="Y198" s="100" t="str">
        <f t="shared" si="74"/>
        <v/>
      </c>
      <c r="Z198" s="119" t="str">
        <f>IF('Temperature in bundle'!$P$4="Current = 1A per pair",2,IF($A198="","",('Temperature in bundle'!$Q$6-('Temperature in bundle'!$Q$6^2-4*(Y198+AA$7)*'Temperature in bundle'!$Q$7)^0.5)/2/(Y198+AA$7)))</f>
        <v/>
      </c>
      <c r="AA198" s="98" t="str">
        <f t="shared" si="75"/>
        <v/>
      </c>
      <c r="AB198" s="101" t="str">
        <f t="shared" si="82"/>
        <v/>
      </c>
    </row>
    <row r="199" spans="1:28">
      <c r="A199" t="str">
        <f t="shared" si="83"/>
        <v/>
      </c>
      <c r="B199" s="113">
        <v>1.5</v>
      </c>
      <c r="C199" s="113">
        <f>(SQRT(3)/2*7)*-1</f>
        <v>-6.0621778264910704</v>
      </c>
      <c r="D199" s="113">
        <f t="shared" si="85"/>
        <v>6.2449979983983983</v>
      </c>
      <c r="E199" s="113" t="str">
        <f t="shared" si="76"/>
        <v/>
      </c>
      <c r="F199" s="113" t="str">
        <f t="shared" si="76"/>
        <v/>
      </c>
      <c r="G199" s="113" t="str">
        <f t="shared" si="84"/>
        <v/>
      </c>
      <c r="J199" s="116" t="str">
        <f t="shared" si="77"/>
        <v/>
      </c>
      <c r="K199" s="119" t="str">
        <f t="shared" si="69"/>
        <v/>
      </c>
      <c r="L199" s="98" t="str">
        <f t="shared" si="70"/>
        <v/>
      </c>
      <c r="M199" s="101" t="str">
        <f t="shared" si="78"/>
        <v/>
      </c>
      <c r="O199" s="100" t="str">
        <f t="shared" si="71"/>
        <v/>
      </c>
      <c r="P199" s="119" t="str">
        <f>IF('Temperature in bundle'!$P$4="Current = 1A per pair",2,IF($A199="","",('Temperature in bundle'!$Q$6-('Temperature in bundle'!$Q$6^2-4*(O199+Q$7)*'Temperature in bundle'!$Q$7)^0.5)/2/(O199+Q$7)))</f>
        <v/>
      </c>
      <c r="Q199" s="98" t="str">
        <f t="shared" si="79"/>
        <v/>
      </c>
      <c r="R199" s="101" t="str">
        <f t="shared" si="80"/>
        <v/>
      </c>
      <c r="T199" s="100" t="str">
        <f t="shared" si="72"/>
        <v/>
      </c>
      <c r="U199" s="119" t="str">
        <f>IF('Temperature in bundle'!$P$4="Current = 1A per pair",2,IF($A199="","",('Temperature in bundle'!$Q$6-('Temperature in bundle'!$Q$6^2-4*(T199+V$7)*'Temperature in bundle'!$Q$7)^0.5)/2/(T199+V$7)))</f>
        <v/>
      </c>
      <c r="V199" s="98" t="str">
        <f t="shared" si="73"/>
        <v/>
      </c>
      <c r="W199" s="101" t="str">
        <f t="shared" si="81"/>
        <v/>
      </c>
      <c r="Y199" s="100" t="str">
        <f t="shared" si="74"/>
        <v/>
      </c>
      <c r="Z199" s="119" t="str">
        <f>IF('Temperature in bundle'!$P$4="Current = 1A per pair",2,IF($A199="","",('Temperature in bundle'!$Q$6-('Temperature in bundle'!$Q$6^2-4*(Y199+AA$7)*'Temperature in bundle'!$Q$7)^0.5)/2/(Y199+AA$7)))</f>
        <v/>
      </c>
      <c r="AA199" s="98" t="str">
        <f t="shared" si="75"/>
        <v/>
      </c>
      <c r="AB199" s="101" t="str">
        <f t="shared" si="82"/>
        <v/>
      </c>
    </row>
    <row r="200" spans="1:28">
      <c r="A200" t="str">
        <f t="shared" si="83"/>
        <v/>
      </c>
      <c r="B200" s="113">
        <v>4.5</v>
      </c>
      <c r="C200" s="113">
        <f>(SQRT(3)/2*5)*-1</f>
        <v>-4.3301270189221928</v>
      </c>
      <c r="D200" s="113">
        <f t="shared" si="85"/>
        <v>6.2449979983983983</v>
      </c>
      <c r="E200" s="113" t="str">
        <f t="shared" si="76"/>
        <v/>
      </c>
      <c r="F200" s="113" t="str">
        <f t="shared" si="76"/>
        <v/>
      </c>
      <c r="G200" s="113" t="str">
        <f t="shared" si="84"/>
        <v/>
      </c>
      <c r="J200" s="116" t="str">
        <f t="shared" si="77"/>
        <v/>
      </c>
      <c r="K200" s="119" t="str">
        <f t="shared" si="69"/>
        <v/>
      </c>
      <c r="L200" s="98" t="str">
        <f t="shared" si="70"/>
        <v/>
      </c>
      <c r="M200" s="101" t="str">
        <f t="shared" si="78"/>
        <v/>
      </c>
      <c r="O200" s="100" t="str">
        <f t="shared" si="71"/>
        <v/>
      </c>
      <c r="P200" s="119" t="str">
        <f>IF('Temperature in bundle'!$P$4="Current = 1A per pair",2,IF($A200="","",('Temperature in bundle'!$Q$6-('Temperature in bundle'!$Q$6^2-4*(O200+Q$7)*'Temperature in bundle'!$Q$7)^0.5)/2/(O200+Q$7)))</f>
        <v/>
      </c>
      <c r="Q200" s="98" t="str">
        <f t="shared" si="79"/>
        <v/>
      </c>
      <c r="R200" s="101" t="str">
        <f t="shared" si="80"/>
        <v/>
      </c>
      <c r="T200" s="100" t="str">
        <f t="shared" si="72"/>
        <v/>
      </c>
      <c r="U200" s="119" t="str">
        <f>IF('Temperature in bundle'!$P$4="Current = 1A per pair",2,IF($A200="","",('Temperature in bundle'!$Q$6-('Temperature in bundle'!$Q$6^2-4*(T200+V$7)*'Temperature in bundle'!$Q$7)^0.5)/2/(T200+V$7)))</f>
        <v/>
      </c>
      <c r="V200" s="98" t="str">
        <f t="shared" si="73"/>
        <v/>
      </c>
      <c r="W200" s="101" t="str">
        <f t="shared" si="81"/>
        <v/>
      </c>
      <c r="Y200" s="100" t="str">
        <f t="shared" si="74"/>
        <v/>
      </c>
      <c r="Z200" s="119" t="str">
        <f>IF('Temperature in bundle'!$P$4="Current = 1A per pair",2,IF($A200="","",('Temperature in bundle'!$Q$6-('Temperature in bundle'!$Q$6^2-4*(Y200+AA$7)*'Temperature in bundle'!$Q$7)^0.5)/2/(Y200+AA$7)))</f>
        <v/>
      </c>
      <c r="AA200" s="98" t="str">
        <f t="shared" si="75"/>
        <v/>
      </c>
      <c r="AB200" s="101" t="str">
        <f t="shared" si="82"/>
        <v/>
      </c>
    </row>
    <row r="201" spans="1:28">
      <c r="A201" t="str">
        <f t="shared" si="83"/>
        <v/>
      </c>
      <c r="B201" s="113">
        <v>6</v>
      </c>
      <c r="C201" s="113">
        <f>(SQRT(3)/2*2)*-1</f>
        <v>-1.7320508075688772</v>
      </c>
      <c r="D201" s="113">
        <f t="shared" si="85"/>
        <v>6.2449979983983983</v>
      </c>
      <c r="E201" s="113" t="str">
        <f t="shared" si="76"/>
        <v/>
      </c>
      <c r="F201" s="113" t="str">
        <f t="shared" si="76"/>
        <v/>
      </c>
      <c r="G201" s="113" t="str">
        <f t="shared" si="84"/>
        <v/>
      </c>
      <c r="J201" s="116" t="str">
        <f t="shared" si="77"/>
        <v/>
      </c>
      <c r="K201" s="119" t="str">
        <f t="shared" si="69"/>
        <v/>
      </c>
      <c r="L201" s="98" t="str">
        <f t="shared" si="70"/>
        <v/>
      </c>
      <c r="M201" s="101" t="str">
        <f t="shared" si="78"/>
        <v/>
      </c>
      <c r="O201" s="100" t="str">
        <f t="shared" si="71"/>
        <v/>
      </c>
      <c r="P201" s="119" t="str">
        <f>IF('Temperature in bundle'!$P$4="Current = 1A per pair",2,IF($A201="","",('Temperature in bundle'!$Q$6-('Temperature in bundle'!$Q$6^2-4*(O201+Q$7)*'Temperature in bundle'!$Q$7)^0.5)/2/(O201+Q$7)))</f>
        <v/>
      </c>
      <c r="Q201" s="98" t="str">
        <f t="shared" si="79"/>
        <v/>
      </c>
      <c r="R201" s="101" t="str">
        <f t="shared" si="80"/>
        <v/>
      </c>
      <c r="T201" s="100" t="str">
        <f t="shared" si="72"/>
        <v/>
      </c>
      <c r="U201" s="119" t="str">
        <f>IF('Temperature in bundle'!$P$4="Current = 1A per pair",2,IF($A201="","",('Temperature in bundle'!$Q$6-('Temperature in bundle'!$Q$6^2-4*(T201+V$7)*'Temperature in bundle'!$Q$7)^0.5)/2/(T201+V$7)))</f>
        <v/>
      </c>
      <c r="V201" s="98" t="str">
        <f t="shared" si="73"/>
        <v/>
      </c>
      <c r="W201" s="101" t="str">
        <f t="shared" si="81"/>
        <v/>
      </c>
      <c r="Y201" s="100" t="str">
        <f t="shared" si="74"/>
        <v/>
      </c>
      <c r="Z201" s="119" t="str">
        <f>IF('Temperature in bundle'!$P$4="Current = 1A per pair",2,IF($A201="","",('Temperature in bundle'!$Q$6-('Temperature in bundle'!$Q$6^2-4*(Y201+AA$7)*'Temperature in bundle'!$Q$7)^0.5)/2/(Y201+AA$7)))</f>
        <v/>
      </c>
      <c r="AA201" s="98" t="str">
        <f t="shared" si="75"/>
        <v/>
      </c>
      <c r="AB201" s="101" t="str">
        <f t="shared" si="82"/>
        <v/>
      </c>
    </row>
    <row r="202" spans="1:28">
      <c r="A202" t="str">
        <f t="shared" si="83"/>
        <v/>
      </c>
      <c r="B202" s="113">
        <v>6.5</v>
      </c>
      <c r="C202" s="113">
        <f>SQRT(3)/2</f>
        <v>0.8660254037844386</v>
      </c>
      <c r="D202" s="113">
        <f t="shared" si="85"/>
        <v>6.5574385243020004</v>
      </c>
      <c r="E202" s="113" t="str">
        <f t="shared" si="76"/>
        <v/>
      </c>
      <c r="F202" s="113" t="str">
        <f t="shared" si="76"/>
        <v/>
      </c>
      <c r="G202" s="113" t="str">
        <f t="shared" si="84"/>
        <v/>
      </c>
      <c r="J202" s="116" t="str">
        <f t="shared" si="77"/>
        <v/>
      </c>
      <c r="K202" s="119" t="str">
        <f t="shared" si="69"/>
        <v/>
      </c>
      <c r="L202" s="98" t="str">
        <f t="shared" si="70"/>
        <v/>
      </c>
      <c r="M202" s="101" t="str">
        <f t="shared" si="78"/>
        <v/>
      </c>
      <c r="O202" s="100" t="str">
        <f t="shared" si="71"/>
        <v/>
      </c>
      <c r="P202" s="119" t="str">
        <f>IF('Temperature in bundle'!$P$4="Current = 1A per pair",2,IF($A202="","",('Temperature in bundle'!$Q$6-('Temperature in bundle'!$Q$6^2-4*(O202+Q$7)*'Temperature in bundle'!$Q$7)^0.5)/2/(O202+Q$7)))</f>
        <v/>
      </c>
      <c r="Q202" s="98" t="str">
        <f t="shared" si="79"/>
        <v/>
      </c>
      <c r="R202" s="101" t="str">
        <f t="shared" si="80"/>
        <v/>
      </c>
      <c r="T202" s="100" t="str">
        <f t="shared" si="72"/>
        <v/>
      </c>
      <c r="U202" s="119" t="str">
        <f>IF('Temperature in bundle'!$P$4="Current = 1A per pair",2,IF($A202="","",('Temperature in bundle'!$Q$6-('Temperature in bundle'!$Q$6^2-4*(T202+V$7)*'Temperature in bundle'!$Q$7)^0.5)/2/(T202+V$7)))</f>
        <v/>
      </c>
      <c r="V202" s="98" t="str">
        <f t="shared" si="73"/>
        <v/>
      </c>
      <c r="W202" s="101" t="str">
        <f t="shared" si="81"/>
        <v/>
      </c>
      <c r="Y202" s="100" t="str">
        <f t="shared" si="74"/>
        <v/>
      </c>
      <c r="Z202" s="119" t="str">
        <f>IF('Temperature in bundle'!$P$4="Current = 1A per pair",2,IF($A202="","",('Temperature in bundle'!$Q$6-('Temperature in bundle'!$Q$6^2-4*(Y202+AA$7)*'Temperature in bundle'!$Q$7)^0.5)/2/(Y202+AA$7)))</f>
        <v/>
      </c>
      <c r="AA202" s="98" t="str">
        <f t="shared" si="75"/>
        <v/>
      </c>
      <c r="AB202" s="101" t="str">
        <f t="shared" si="82"/>
        <v/>
      </c>
    </row>
    <row r="203" spans="1:28">
      <c r="A203" t="str">
        <f t="shared" si="83"/>
        <v/>
      </c>
      <c r="B203" s="113">
        <v>4</v>
      </c>
      <c r="C203" s="113">
        <f>SQRT(3)/2*6</f>
        <v>5.196152422706632</v>
      </c>
      <c r="D203" s="113">
        <f t="shared" si="85"/>
        <v>6.5574385243020004</v>
      </c>
      <c r="E203" s="113" t="str">
        <f t="shared" si="76"/>
        <v/>
      </c>
      <c r="F203" s="113" t="str">
        <f t="shared" si="76"/>
        <v/>
      </c>
      <c r="G203" s="113" t="str">
        <f t="shared" si="84"/>
        <v/>
      </c>
      <c r="J203" s="116" t="str">
        <f t="shared" si="77"/>
        <v/>
      </c>
      <c r="K203" s="119" t="str">
        <f t="shared" si="69"/>
        <v/>
      </c>
      <c r="L203" s="98" t="str">
        <f t="shared" si="70"/>
        <v/>
      </c>
      <c r="M203" s="101" t="str">
        <f t="shared" si="78"/>
        <v/>
      </c>
      <c r="O203" s="100" t="str">
        <f t="shared" si="71"/>
        <v/>
      </c>
      <c r="P203" s="119" t="str">
        <f>IF('Temperature in bundle'!$P$4="Current = 1A per pair",2,IF($A203="","",('Temperature in bundle'!$Q$6-('Temperature in bundle'!$Q$6^2-4*(O203+Q$7)*'Temperature in bundle'!$Q$7)^0.5)/2/(O203+Q$7)))</f>
        <v/>
      </c>
      <c r="Q203" s="98" t="str">
        <f t="shared" si="79"/>
        <v/>
      </c>
      <c r="R203" s="101" t="str">
        <f t="shared" si="80"/>
        <v/>
      </c>
      <c r="T203" s="100" t="str">
        <f t="shared" si="72"/>
        <v/>
      </c>
      <c r="U203" s="119" t="str">
        <f>IF('Temperature in bundle'!$P$4="Current = 1A per pair",2,IF($A203="","",('Temperature in bundle'!$Q$6-('Temperature in bundle'!$Q$6^2-4*(T203+V$7)*'Temperature in bundle'!$Q$7)^0.5)/2/(T203+V$7)))</f>
        <v/>
      </c>
      <c r="V203" s="98" t="str">
        <f t="shared" si="73"/>
        <v/>
      </c>
      <c r="W203" s="101" t="str">
        <f t="shared" si="81"/>
        <v/>
      </c>
      <c r="Y203" s="100" t="str">
        <f t="shared" si="74"/>
        <v/>
      </c>
      <c r="Z203" s="119" t="str">
        <f>IF('Temperature in bundle'!$P$4="Current = 1A per pair",2,IF($A203="","",('Temperature in bundle'!$Q$6-('Temperature in bundle'!$Q$6^2-4*(Y203+AA$7)*'Temperature in bundle'!$Q$7)^0.5)/2/(Y203+AA$7)))</f>
        <v/>
      </c>
      <c r="AA203" s="98" t="str">
        <f t="shared" si="75"/>
        <v/>
      </c>
      <c r="AB203" s="101" t="str">
        <f t="shared" si="82"/>
        <v/>
      </c>
    </row>
    <row r="204" spans="1:28">
      <c r="A204" t="str">
        <f t="shared" si="83"/>
        <v/>
      </c>
      <c r="B204" s="113">
        <v>2.5</v>
      </c>
      <c r="C204" s="113">
        <f>SQRT(3)/2*7</f>
        <v>6.0621778264910704</v>
      </c>
      <c r="D204" s="113">
        <f t="shared" si="85"/>
        <v>6.5574385243020004</v>
      </c>
      <c r="E204" s="113" t="str">
        <f t="shared" si="76"/>
        <v/>
      </c>
      <c r="F204" s="113" t="str">
        <f t="shared" si="76"/>
        <v/>
      </c>
      <c r="G204" s="113" t="str">
        <f t="shared" si="84"/>
        <v/>
      </c>
      <c r="J204" s="116" t="str">
        <f t="shared" si="77"/>
        <v/>
      </c>
      <c r="K204" s="119" t="str">
        <f t="shared" si="69"/>
        <v/>
      </c>
      <c r="L204" s="98" t="str">
        <f t="shared" si="70"/>
        <v/>
      </c>
      <c r="M204" s="101" t="str">
        <f t="shared" si="78"/>
        <v/>
      </c>
      <c r="O204" s="100" t="str">
        <f t="shared" si="71"/>
        <v/>
      </c>
      <c r="P204" s="119" t="str">
        <f>IF('Temperature in bundle'!$P$4="Current = 1A per pair",2,IF($A204="","",('Temperature in bundle'!$Q$6-('Temperature in bundle'!$Q$6^2-4*(O204+Q$7)*'Temperature in bundle'!$Q$7)^0.5)/2/(O204+Q$7)))</f>
        <v/>
      </c>
      <c r="Q204" s="98" t="str">
        <f t="shared" si="79"/>
        <v/>
      </c>
      <c r="R204" s="101" t="str">
        <f t="shared" si="80"/>
        <v/>
      </c>
      <c r="T204" s="100" t="str">
        <f t="shared" si="72"/>
        <v/>
      </c>
      <c r="U204" s="119" t="str">
        <f>IF('Temperature in bundle'!$P$4="Current = 1A per pair",2,IF($A204="","",('Temperature in bundle'!$Q$6-('Temperature in bundle'!$Q$6^2-4*(T204+V$7)*'Temperature in bundle'!$Q$7)^0.5)/2/(T204+V$7)))</f>
        <v/>
      </c>
      <c r="V204" s="98" t="str">
        <f t="shared" si="73"/>
        <v/>
      </c>
      <c r="W204" s="101" t="str">
        <f t="shared" si="81"/>
        <v/>
      </c>
      <c r="Y204" s="100" t="str">
        <f t="shared" si="74"/>
        <v/>
      </c>
      <c r="Z204" s="119" t="str">
        <f>IF('Temperature in bundle'!$P$4="Current = 1A per pair",2,IF($A204="","",('Temperature in bundle'!$Q$6-('Temperature in bundle'!$Q$6^2-4*(Y204+AA$7)*'Temperature in bundle'!$Q$7)^0.5)/2/(Y204+AA$7)))</f>
        <v/>
      </c>
      <c r="AA204" s="98" t="str">
        <f t="shared" si="75"/>
        <v/>
      </c>
      <c r="AB204" s="101" t="str">
        <f t="shared" si="82"/>
        <v/>
      </c>
    </row>
    <row r="205" spans="1:28">
      <c r="A205" t="str">
        <f t="shared" si="83"/>
        <v/>
      </c>
      <c r="B205" s="113">
        <v>-2.5</v>
      </c>
      <c r="C205" s="113">
        <f>SQRT(3)/2*7</f>
        <v>6.0621778264910704</v>
      </c>
      <c r="D205" s="113">
        <f t="shared" si="85"/>
        <v>6.5574385243020004</v>
      </c>
      <c r="E205" s="113" t="str">
        <f t="shared" si="76"/>
        <v/>
      </c>
      <c r="F205" s="113" t="str">
        <f t="shared" si="76"/>
        <v/>
      </c>
      <c r="G205" s="113" t="str">
        <f t="shared" si="84"/>
        <v/>
      </c>
      <c r="J205" s="116" t="str">
        <f t="shared" si="77"/>
        <v/>
      </c>
      <c r="K205" s="119" t="str">
        <f t="shared" si="69"/>
        <v/>
      </c>
      <c r="L205" s="98" t="str">
        <f t="shared" si="70"/>
        <v/>
      </c>
      <c r="M205" s="101" t="str">
        <f t="shared" si="78"/>
        <v/>
      </c>
      <c r="O205" s="100" t="str">
        <f t="shared" si="71"/>
        <v/>
      </c>
      <c r="P205" s="119" t="str">
        <f>IF('Temperature in bundle'!$P$4="Current = 1A per pair",2,IF($A205="","",('Temperature in bundle'!$Q$6-('Temperature in bundle'!$Q$6^2-4*(O205+Q$7)*'Temperature in bundle'!$Q$7)^0.5)/2/(O205+Q$7)))</f>
        <v/>
      </c>
      <c r="Q205" s="98" t="str">
        <f t="shared" si="79"/>
        <v/>
      </c>
      <c r="R205" s="101" t="str">
        <f t="shared" si="80"/>
        <v/>
      </c>
      <c r="T205" s="100" t="str">
        <f t="shared" si="72"/>
        <v/>
      </c>
      <c r="U205" s="119" t="str">
        <f>IF('Temperature in bundle'!$P$4="Current = 1A per pair",2,IF($A205="","",('Temperature in bundle'!$Q$6-('Temperature in bundle'!$Q$6^2-4*(T205+V$7)*'Temperature in bundle'!$Q$7)^0.5)/2/(T205+V$7)))</f>
        <v/>
      </c>
      <c r="V205" s="98" t="str">
        <f t="shared" si="73"/>
        <v/>
      </c>
      <c r="W205" s="101" t="str">
        <f t="shared" si="81"/>
        <v/>
      </c>
      <c r="Y205" s="100" t="str">
        <f t="shared" si="74"/>
        <v/>
      </c>
      <c r="Z205" s="119" t="str">
        <f>IF('Temperature in bundle'!$P$4="Current = 1A per pair",2,IF($A205="","",('Temperature in bundle'!$Q$6-('Temperature in bundle'!$Q$6^2-4*(Y205+AA$7)*'Temperature in bundle'!$Q$7)^0.5)/2/(Y205+AA$7)))</f>
        <v/>
      </c>
      <c r="AA205" s="98" t="str">
        <f t="shared" si="75"/>
        <v/>
      </c>
      <c r="AB205" s="101" t="str">
        <f t="shared" si="82"/>
        <v/>
      </c>
    </row>
    <row r="206" spans="1:28">
      <c r="A206" t="str">
        <f t="shared" si="83"/>
        <v/>
      </c>
      <c r="B206" s="113">
        <v>-4</v>
      </c>
      <c r="C206" s="113">
        <f>SQRT(3)/2*6</f>
        <v>5.196152422706632</v>
      </c>
      <c r="D206" s="113">
        <f t="shared" si="85"/>
        <v>6.5574385243020004</v>
      </c>
      <c r="E206" s="113" t="str">
        <f t="shared" si="76"/>
        <v/>
      </c>
      <c r="F206" s="113" t="str">
        <f t="shared" si="76"/>
        <v/>
      </c>
      <c r="G206" s="113" t="str">
        <f t="shared" si="84"/>
        <v/>
      </c>
      <c r="J206" s="116" t="str">
        <f t="shared" si="77"/>
        <v/>
      </c>
      <c r="K206" s="119" t="str">
        <f t="shared" si="69"/>
        <v/>
      </c>
      <c r="L206" s="98" t="str">
        <f t="shared" si="70"/>
        <v/>
      </c>
      <c r="M206" s="101" t="str">
        <f t="shared" si="78"/>
        <v/>
      </c>
      <c r="O206" s="100" t="str">
        <f t="shared" si="71"/>
        <v/>
      </c>
      <c r="P206" s="119" t="str">
        <f>IF('Temperature in bundle'!$P$4="Current = 1A per pair",2,IF($A206="","",('Temperature in bundle'!$Q$6-('Temperature in bundle'!$Q$6^2-4*(O206+Q$7)*'Temperature in bundle'!$Q$7)^0.5)/2/(O206+Q$7)))</f>
        <v/>
      </c>
      <c r="Q206" s="98" t="str">
        <f t="shared" si="79"/>
        <v/>
      </c>
      <c r="R206" s="101" t="str">
        <f t="shared" si="80"/>
        <v/>
      </c>
      <c r="T206" s="100" t="str">
        <f t="shared" si="72"/>
        <v/>
      </c>
      <c r="U206" s="119" t="str">
        <f>IF('Temperature in bundle'!$P$4="Current = 1A per pair",2,IF($A206="","",('Temperature in bundle'!$Q$6-('Temperature in bundle'!$Q$6^2-4*(T206+V$7)*'Temperature in bundle'!$Q$7)^0.5)/2/(T206+V$7)))</f>
        <v/>
      </c>
      <c r="V206" s="98" t="str">
        <f t="shared" si="73"/>
        <v/>
      </c>
      <c r="W206" s="101" t="str">
        <f t="shared" si="81"/>
        <v/>
      </c>
      <c r="Y206" s="100" t="str">
        <f t="shared" si="74"/>
        <v/>
      </c>
      <c r="Z206" s="119" t="str">
        <f>IF('Temperature in bundle'!$P$4="Current = 1A per pair",2,IF($A206="","",('Temperature in bundle'!$Q$6-('Temperature in bundle'!$Q$6^2-4*(Y206+AA$7)*'Temperature in bundle'!$Q$7)^0.5)/2/(Y206+AA$7)))</f>
        <v/>
      </c>
      <c r="AA206" s="98" t="str">
        <f t="shared" si="75"/>
        <v/>
      </c>
      <c r="AB206" s="101" t="str">
        <f t="shared" si="82"/>
        <v/>
      </c>
    </row>
    <row r="207" spans="1:28">
      <c r="A207" t="str">
        <f t="shared" si="83"/>
        <v/>
      </c>
      <c r="B207" s="113">
        <v>-6.5</v>
      </c>
      <c r="C207" s="113">
        <f>SQRT(3)/2</f>
        <v>0.8660254037844386</v>
      </c>
      <c r="D207" s="113">
        <f t="shared" si="85"/>
        <v>6.5574385243020004</v>
      </c>
      <c r="E207" s="113" t="str">
        <f t="shared" si="76"/>
        <v/>
      </c>
      <c r="F207" s="113" t="str">
        <f t="shared" si="76"/>
        <v/>
      </c>
      <c r="G207" s="113" t="str">
        <f t="shared" si="84"/>
        <v/>
      </c>
      <c r="J207" s="116" t="str">
        <f t="shared" si="77"/>
        <v/>
      </c>
      <c r="K207" s="119" t="str">
        <f t="shared" si="69"/>
        <v/>
      </c>
      <c r="L207" s="98" t="str">
        <f t="shared" si="70"/>
        <v/>
      </c>
      <c r="M207" s="101" t="str">
        <f t="shared" si="78"/>
        <v/>
      </c>
      <c r="O207" s="100" t="str">
        <f t="shared" si="71"/>
        <v/>
      </c>
      <c r="P207" s="119" t="str">
        <f>IF('Temperature in bundle'!$P$4="Current = 1A per pair",2,IF($A207="","",('Temperature in bundle'!$Q$6-('Temperature in bundle'!$Q$6^2-4*(O207+Q$7)*'Temperature in bundle'!$Q$7)^0.5)/2/(O207+Q$7)))</f>
        <v/>
      </c>
      <c r="Q207" s="98" t="str">
        <f t="shared" si="79"/>
        <v/>
      </c>
      <c r="R207" s="101" t="str">
        <f t="shared" si="80"/>
        <v/>
      </c>
      <c r="T207" s="100" t="str">
        <f t="shared" si="72"/>
        <v/>
      </c>
      <c r="U207" s="119" t="str">
        <f>IF('Temperature in bundle'!$P$4="Current = 1A per pair",2,IF($A207="","",('Temperature in bundle'!$Q$6-('Temperature in bundle'!$Q$6^2-4*(T207+V$7)*'Temperature in bundle'!$Q$7)^0.5)/2/(T207+V$7)))</f>
        <v/>
      </c>
      <c r="V207" s="98" t="str">
        <f t="shared" si="73"/>
        <v/>
      </c>
      <c r="W207" s="101" t="str">
        <f t="shared" si="81"/>
        <v/>
      </c>
      <c r="Y207" s="100" t="str">
        <f t="shared" si="74"/>
        <v/>
      </c>
      <c r="Z207" s="119" t="str">
        <f>IF('Temperature in bundle'!$P$4="Current = 1A per pair",2,IF($A207="","",('Temperature in bundle'!$Q$6-('Temperature in bundle'!$Q$6^2-4*(Y207+AA$7)*'Temperature in bundle'!$Q$7)^0.5)/2/(Y207+AA$7)))</f>
        <v/>
      </c>
      <c r="AA207" s="98" t="str">
        <f t="shared" si="75"/>
        <v/>
      </c>
      <c r="AB207" s="101" t="str">
        <f t="shared" si="82"/>
        <v/>
      </c>
    </row>
    <row r="208" spans="1:28">
      <c r="A208" t="str">
        <f t="shared" si="83"/>
        <v/>
      </c>
      <c r="B208" s="113">
        <v>-6.5</v>
      </c>
      <c r="C208" s="113">
        <f>(SQRT(3)/2)*-1</f>
        <v>-0.8660254037844386</v>
      </c>
      <c r="D208" s="113">
        <f t="shared" si="85"/>
        <v>6.5574385243020004</v>
      </c>
      <c r="E208" s="113" t="str">
        <f t="shared" si="76"/>
        <v/>
      </c>
      <c r="F208" s="113" t="str">
        <f t="shared" si="76"/>
        <v/>
      </c>
      <c r="G208" s="113" t="str">
        <f t="shared" si="84"/>
        <v/>
      </c>
      <c r="J208" s="116" t="str">
        <f t="shared" si="77"/>
        <v/>
      </c>
      <c r="K208" s="119" t="str">
        <f t="shared" si="69"/>
        <v/>
      </c>
      <c r="L208" s="98" t="str">
        <f t="shared" si="70"/>
        <v/>
      </c>
      <c r="M208" s="101" t="str">
        <f t="shared" si="78"/>
        <v/>
      </c>
      <c r="O208" s="100" t="str">
        <f t="shared" si="71"/>
        <v/>
      </c>
      <c r="P208" s="119" t="str">
        <f>IF('Temperature in bundle'!$P$4="Current = 1A per pair",2,IF($A208="","",('Temperature in bundle'!$Q$6-('Temperature in bundle'!$Q$6^2-4*(O208+Q$7)*'Temperature in bundle'!$Q$7)^0.5)/2/(O208+Q$7)))</f>
        <v/>
      </c>
      <c r="Q208" s="98" t="str">
        <f t="shared" si="79"/>
        <v/>
      </c>
      <c r="R208" s="101" t="str">
        <f t="shared" si="80"/>
        <v/>
      </c>
      <c r="T208" s="100" t="str">
        <f t="shared" si="72"/>
        <v/>
      </c>
      <c r="U208" s="119" t="str">
        <f>IF('Temperature in bundle'!$P$4="Current = 1A per pair",2,IF($A208="","",('Temperature in bundle'!$Q$6-('Temperature in bundle'!$Q$6^2-4*(T208+V$7)*'Temperature in bundle'!$Q$7)^0.5)/2/(T208+V$7)))</f>
        <v/>
      </c>
      <c r="V208" s="98" t="str">
        <f t="shared" si="73"/>
        <v/>
      </c>
      <c r="W208" s="101" t="str">
        <f t="shared" si="81"/>
        <v/>
      </c>
      <c r="Y208" s="100" t="str">
        <f t="shared" si="74"/>
        <v/>
      </c>
      <c r="Z208" s="119" t="str">
        <f>IF('Temperature in bundle'!$P$4="Current = 1A per pair",2,IF($A208="","",('Temperature in bundle'!$Q$6-('Temperature in bundle'!$Q$6^2-4*(Y208+AA$7)*'Temperature in bundle'!$Q$7)^0.5)/2/(Y208+AA$7)))</f>
        <v/>
      </c>
      <c r="AA208" s="98" t="str">
        <f t="shared" si="75"/>
        <v/>
      </c>
      <c r="AB208" s="101" t="str">
        <f t="shared" si="82"/>
        <v/>
      </c>
    </row>
    <row r="209" spans="1:28">
      <c r="A209" t="str">
        <f t="shared" si="83"/>
        <v/>
      </c>
      <c r="B209" s="113">
        <v>-4</v>
      </c>
      <c r="C209" s="113">
        <f>(SQRT(3)/2*6)*-1</f>
        <v>-5.196152422706632</v>
      </c>
      <c r="D209" s="113">
        <f t="shared" si="85"/>
        <v>6.5574385243020004</v>
      </c>
      <c r="E209" s="113" t="str">
        <f t="shared" si="76"/>
        <v/>
      </c>
      <c r="F209" s="113" t="str">
        <f t="shared" si="76"/>
        <v/>
      </c>
      <c r="G209" s="113" t="str">
        <f t="shared" si="84"/>
        <v/>
      </c>
      <c r="J209" s="116" t="str">
        <f t="shared" si="77"/>
        <v/>
      </c>
      <c r="K209" s="119" t="str">
        <f t="shared" si="69"/>
        <v/>
      </c>
      <c r="L209" s="98" t="str">
        <f t="shared" si="70"/>
        <v/>
      </c>
      <c r="M209" s="101" t="str">
        <f t="shared" si="78"/>
        <v/>
      </c>
      <c r="O209" s="100" t="str">
        <f t="shared" si="71"/>
        <v/>
      </c>
      <c r="P209" s="119" t="str">
        <f>IF('Temperature in bundle'!$P$4="Current = 1A per pair",2,IF($A209="","",('Temperature in bundle'!$Q$6-('Temperature in bundle'!$Q$6^2-4*(O209+Q$7)*'Temperature in bundle'!$Q$7)^0.5)/2/(O209+Q$7)))</f>
        <v/>
      </c>
      <c r="Q209" s="98" t="str">
        <f t="shared" si="79"/>
        <v/>
      </c>
      <c r="R209" s="101" t="str">
        <f t="shared" si="80"/>
        <v/>
      </c>
      <c r="T209" s="100" t="str">
        <f t="shared" si="72"/>
        <v/>
      </c>
      <c r="U209" s="119" t="str">
        <f>IF('Temperature in bundle'!$P$4="Current = 1A per pair",2,IF($A209="","",('Temperature in bundle'!$Q$6-('Temperature in bundle'!$Q$6^2-4*(T209+V$7)*'Temperature in bundle'!$Q$7)^0.5)/2/(T209+V$7)))</f>
        <v/>
      </c>
      <c r="V209" s="98" t="str">
        <f t="shared" si="73"/>
        <v/>
      </c>
      <c r="W209" s="101" t="str">
        <f t="shared" si="81"/>
        <v/>
      </c>
      <c r="Y209" s="100" t="str">
        <f t="shared" si="74"/>
        <v/>
      </c>
      <c r="Z209" s="119" t="str">
        <f>IF('Temperature in bundle'!$P$4="Current = 1A per pair",2,IF($A209="","",('Temperature in bundle'!$Q$6-('Temperature in bundle'!$Q$6^2-4*(Y209+AA$7)*'Temperature in bundle'!$Q$7)^0.5)/2/(Y209+AA$7)))</f>
        <v/>
      </c>
      <c r="AA209" s="98" t="str">
        <f t="shared" si="75"/>
        <v/>
      </c>
      <c r="AB209" s="101" t="str">
        <f t="shared" si="82"/>
        <v/>
      </c>
    </row>
    <row r="210" spans="1:28">
      <c r="A210" t="str">
        <f t="shared" si="83"/>
        <v/>
      </c>
      <c r="B210" s="113">
        <v>-2.5</v>
      </c>
      <c r="C210" s="113">
        <f>(SQRT(3)/2*7)*-1</f>
        <v>-6.0621778264910704</v>
      </c>
      <c r="D210" s="113">
        <f t="shared" si="85"/>
        <v>6.5574385243020004</v>
      </c>
      <c r="E210" s="113" t="str">
        <f t="shared" si="76"/>
        <v/>
      </c>
      <c r="F210" s="113" t="str">
        <f t="shared" si="76"/>
        <v/>
      </c>
      <c r="G210" s="113" t="str">
        <f t="shared" si="84"/>
        <v/>
      </c>
      <c r="J210" s="116" t="str">
        <f t="shared" si="77"/>
        <v/>
      </c>
      <c r="K210" s="119" t="str">
        <f t="shared" si="69"/>
        <v/>
      </c>
      <c r="L210" s="98" t="str">
        <f t="shared" si="70"/>
        <v/>
      </c>
      <c r="M210" s="101" t="str">
        <f t="shared" si="78"/>
        <v/>
      </c>
      <c r="O210" s="100" t="str">
        <f t="shared" si="71"/>
        <v/>
      </c>
      <c r="P210" s="119" t="str">
        <f>IF('Temperature in bundle'!$P$4="Current = 1A per pair",2,IF($A210="","",('Temperature in bundle'!$Q$6-('Temperature in bundle'!$Q$6^2-4*(O210+Q$7)*'Temperature in bundle'!$Q$7)^0.5)/2/(O210+Q$7)))</f>
        <v/>
      </c>
      <c r="Q210" s="98" t="str">
        <f t="shared" si="79"/>
        <v/>
      </c>
      <c r="R210" s="101" t="str">
        <f t="shared" si="80"/>
        <v/>
      </c>
      <c r="T210" s="100" t="str">
        <f t="shared" si="72"/>
        <v/>
      </c>
      <c r="U210" s="119" t="str">
        <f>IF('Temperature in bundle'!$P$4="Current = 1A per pair",2,IF($A210="","",('Temperature in bundle'!$Q$6-('Temperature in bundle'!$Q$6^2-4*(T210+V$7)*'Temperature in bundle'!$Q$7)^0.5)/2/(T210+V$7)))</f>
        <v/>
      </c>
      <c r="V210" s="98" t="str">
        <f t="shared" si="73"/>
        <v/>
      </c>
      <c r="W210" s="101" t="str">
        <f t="shared" si="81"/>
        <v/>
      </c>
      <c r="Y210" s="100" t="str">
        <f t="shared" si="74"/>
        <v/>
      </c>
      <c r="Z210" s="119" t="str">
        <f>IF('Temperature in bundle'!$P$4="Current = 1A per pair",2,IF($A210="","",('Temperature in bundle'!$Q$6-('Temperature in bundle'!$Q$6^2-4*(Y210+AA$7)*'Temperature in bundle'!$Q$7)^0.5)/2/(Y210+AA$7)))</f>
        <v/>
      </c>
      <c r="AA210" s="98" t="str">
        <f t="shared" si="75"/>
        <v/>
      </c>
      <c r="AB210" s="101" t="str">
        <f t="shared" si="82"/>
        <v/>
      </c>
    </row>
    <row r="211" spans="1:28">
      <c r="A211" t="str">
        <f t="shared" si="83"/>
        <v/>
      </c>
      <c r="B211" s="113">
        <v>2.5</v>
      </c>
      <c r="C211" s="113">
        <f>(SQRT(3)/2*7)*-1</f>
        <v>-6.0621778264910704</v>
      </c>
      <c r="D211" s="113">
        <f t="shared" si="85"/>
        <v>6.5574385243020004</v>
      </c>
      <c r="E211" s="113" t="str">
        <f t="shared" si="76"/>
        <v/>
      </c>
      <c r="F211" s="113" t="str">
        <f t="shared" si="76"/>
        <v/>
      </c>
      <c r="G211" s="113" t="str">
        <f t="shared" si="84"/>
        <v/>
      </c>
      <c r="J211" s="116" t="str">
        <f t="shared" si="77"/>
        <v/>
      </c>
      <c r="K211" s="119" t="str">
        <f t="shared" si="69"/>
        <v/>
      </c>
      <c r="L211" s="98" t="str">
        <f t="shared" si="70"/>
        <v/>
      </c>
      <c r="M211" s="101" t="str">
        <f t="shared" si="78"/>
        <v/>
      </c>
      <c r="O211" s="100" t="str">
        <f t="shared" si="71"/>
        <v/>
      </c>
      <c r="P211" s="119" t="str">
        <f>IF('Temperature in bundle'!$P$4="Current = 1A per pair",2,IF($A211="","",('Temperature in bundle'!$Q$6-('Temperature in bundle'!$Q$6^2-4*(O211+Q$7)*'Temperature in bundle'!$Q$7)^0.5)/2/(O211+Q$7)))</f>
        <v/>
      </c>
      <c r="Q211" s="98" t="str">
        <f t="shared" si="79"/>
        <v/>
      </c>
      <c r="R211" s="101" t="str">
        <f t="shared" si="80"/>
        <v/>
      </c>
      <c r="T211" s="100" t="str">
        <f t="shared" si="72"/>
        <v/>
      </c>
      <c r="U211" s="119" t="str">
        <f>IF('Temperature in bundle'!$P$4="Current = 1A per pair",2,IF($A211="","",('Temperature in bundle'!$Q$6-('Temperature in bundle'!$Q$6^2-4*(T211+V$7)*'Temperature in bundle'!$Q$7)^0.5)/2/(T211+V$7)))</f>
        <v/>
      </c>
      <c r="V211" s="98" t="str">
        <f t="shared" si="73"/>
        <v/>
      </c>
      <c r="W211" s="101" t="str">
        <f t="shared" si="81"/>
        <v/>
      </c>
      <c r="Y211" s="100" t="str">
        <f t="shared" si="74"/>
        <v/>
      </c>
      <c r="Z211" s="119" t="str">
        <f>IF('Temperature in bundle'!$P$4="Current = 1A per pair",2,IF($A211="","",('Temperature in bundle'!$Q$6-('Temperature in bundle'!$Q$6^2-4*(Y211+AA$7)*'Temperature in bundle'!$Q$7)^0.5)/2/(Y211+AA$7)))</f>
        <v/>
      </c>
      <c r="AA211" s="98" t="str">
        <f t="shared" si="75"/>
        <v/>
      </c>
      <c r="AB211" s="101" t="str">
        <f t="shared" si="82"/>
        <v/>
      </c>
    </row>
    <row r="212" spans="1:28">
      <c r="A212" t="str">
        <f t="shared" si="83"/>
        <v/>
      </c>
      <c r="B212" s="113">
        <v>4</v>
      </c>
      <c r="C212" s="113">
        <f>(SQRT(3)/2*6)*-1</f>
        <v>-5.196152422706632</v>
      </c>
      <c r="D212" s="113">
        <f t="shared" si="85"/>
        <v>6.5574385243020004</v>
      </c>
      <c r="E212" s="113" t="str">
        <f t="shared" si="76"/>
        <v/>
      </c>
      <c r="F212" s="113" t="str">
        <f t="shared" si="76"/>
        <v/>
      </c>
      <c r="G212" s="113" t="str">
        <f t="shared" si="84"/>
        <v/>
      </c>
      <c r="J212" s="116" t="str">
        <f t="shared" si="77"/>
        <v/>
      </c>
      <c r="K212" s="119" t="str">
        <f t="shared" si="69"/>
        <v/>
      </c>
      <c r="L212" s="98" t="str">
        <f t="shared" si="70"/>
        <v/>
      </c>
      <c r="M212" s="101" t="str">
        <f t="shared" si="78"/>
        <v/>
      </c>
      <c r="O212" s="100" t="str">
        <f t="shared" si="71"/>
        <v/>
      </c>
      <c r="P212" s="119" t="str">
        <f>IF('Temperature in bundle'!$P$4="Current = 1A per pair",2,IF($A212="","",('Temperature in bundle'!$Q$6-('Temperature in bundle'!$Q$6^2-4*(O212+Q$7)*'Temperature in bundle'!$Q$7)^0.5)/2/(O212+Q$7)))</f>
        <v/>
      </c>
      <c r="Q212" s="98" t="str">
        <f t="shared" si="79"/>
        <v/>
      </c>
      <c r="R212" s="101" t="str">
        <f t="shared" si="80"/>
        <v/>
      </c>
      <c r="T212" s="100" t="str">
        <f t="shared" si="72"/>
        <v/>
      </c>
      <c r="U212" s="119" t="str">
        <f>IF('Temperature in bundle'!$P$4="Current = 1A per pair",2,IF($A212="","",('Temperature in bundle'!$Q$6-('Temperature in bundle'!$Q$6^2-4*(T212+V$7)*'Temperature in bundle'!$Q$7)^0.5)/2/(T212+V$7)))</f>
        <v/>
      </c>
      <c r="V212" s="98" t="str">
        <f t="shared" si="73"/>
        <v/>
      </c>
      <c r="W212" s="101" t="str">
        <f t="shared" si="81"/>
        <v/>
      </c>
      <c r="Y212" s="100" t="str">
        <f t="shared" si="74"/>
        <v/>
      </c>
      <c r="Z212" s="119" t="str">
        <f>IF('Temperature in bundle'!$P$4="Current = 1A per pair",2,IF($A212="","",('Temperature in bundle'!$Q$6-('Temperature in bundle'!$Q$6^2-4*(Y212+AA$7)*'Temperature in bundle'!$Q$7)^0.5)/2/(Y212+AA$7)))</f>
        <v/>
      </c>
      <c r="AA212" s="98" t="str">
        <f t="shared" si="75"/>
        <v/>
      </c>
      <c r="AB212" s="101" t="str">
        <f t="shared" si="82"/>
        <v/>
      </c>
    </row>
    <row r="213" spans="1:28">
      <c r="A213" t="str">
        <f t="shared" si="83"/>
        <v/>
      </c>
      <c r="B213" s="113">
        <v>6.5</v>
      </c>
      <c r="C213" s="113">
        <f>(SQRT(3)/2)*-1</f>
        <v>-0.8660254037844386</v>
      </c>
      <c r="D213" s="113">
        <f t="shared" si="85"/>
        <v>6.5574385243020004</v>
      </c>
      <c r="E213" s="113" t="str">
        <f t="shared" si="76"/>
        <v/>
      </c>
      <c r="F213" s="113" t="str">
        <f t="shared" si="76"/>
        <v/>
      </c>
      <c r="G213" s="113" t="str">
        <f t="shared" si="84"/>
        <v/>
      </c>
      <c r="J213" s="116" t="str">
        <f t="shared" si="77"/>
        <v/>
      </c>
      <c r="K213" s="119" t="str">
        <f t="shared" si="69"/>
        <v/>
      </c>
      <c r="L213" s="98" t="str">
        <f t="shared" si="70"/>
        <v/>
      </c>
      <c r="M213" s="101" t="str">
        <f t="shared" si="78"/>
        <v/>
      </c>
      <c r="O213" s="100" t="str">
        <f t="shared" si="71"/>
        <v/>
      </c>
      <c r="P213" s="119" t="str">
        <f>IF('Temperature in bundle'!$P$4="Current = 1A per pair",2,IF($A213="","",('Temperature in bundle'!$Q$6-('Temperature in bundle'!$Q$6^2-4*(O213+Q$7)*'Temperature in bundle'!$Q$7)^0.5)/2/(O213+Q$7)))</f>
        <v/>
      </c>
      <c r="Q213" s="98" t="str">
        <f t="shared" si="79"/>
        <v/>
      </c>
      <c r="R213" s="101" t="str">
        <f t="shared" si="80"/>
        <v/>
      </c>
      <c r="T213" s="100" t="str">
        <f t="shared" si="72"/>
        <v/>
      </c>
      <c r="U213" s="119" t="str">
        <f>IF('Temperature in bundle'!$P$4="Current = 1A per pair",2,IF($A213="","",('Temperature in bundle'!$Q$6-('Temperature in bundle'!$Q$6^2-4*(T213+V$7)*'Temperature in bundle'!$Q$7)^0.5)/2/(T213+V$7)))</f>
        <v/>
      </c>
      <c r="V213" s="98" t="str">
        <f t="shared" si="73"/>
        <v/>
      </c>
      <c r="W213" s="101" t="str">
        <f t="shared" si="81"/>
        <v/>
      </c>
      <c r="Y213" s="100" t="str">
        <f t="shared" si="74"/>
        <v/>
      </c>
      <c r="Z213" s="119" t="str">
        <f>IF('Temperature in bundle'!$P$4="Current = 1A per pair",2,IF($A213="","",('Temperature in bundle'!$Q$6-('Temperature in bundle'!$Q$6^2-4*(Y213+AA$7)*'Temperature in bundle'!$Q$7)^0.5)/2/(Y213+AA$7)))</f>
        <v/>
      </c>
      <c r="AA213" s="98" t="str">
        <f t="shared" si="75"/>
        <v/>
      </c>
      <c r="AB213" s="101" t="str">
        <f t="shared" si="82"/>
        <v/>
      </c>
    </row>
    <row r="214" spans="1:28">
      <c r="A214" t="str">
        <f t="shared" si="83"/>
        <v/>
      </c>
      <c r="B214" s="113">
        <v>6</v>
      </c>
      <c r="C214" s="113">
        <f>SQRT(3)/2*4</f>
        <v>3.4641016151377544</v>
      </c>
      <c r="D214" s="113">
        <f t="shared" si="85"/>
        <v>6.9282032302755088</v>
      </c>
      <c r="E214" s="113" t="str">
        <f t="shared" si="76"/>
        <v/>
      </c>
      <c r="F214" s="113" t="str">
        <f t="shared" si="76"/>
        <v/>
      </c>
      <c r="G214" s="113" t="str">
        <f t="shared" si="84"/>
        <v/>
      </c>
      <c r="J214" s="116" t="str">
        <f t="shared" si="77"/>
        <v/>
      </c>
      <c r="K214" s="119" t="str">
        <f t="shared" si="69"/>
        <v/>
      </c>
      <c r="L214" s="98" t="str">
        <f t="shared" si="70"/>
        <v/>
      </c>
      <c r="M214" s="101" t="str">
        <f t="shared" si="78"/>
        <v/>
      </c>
      <c r="O214" s="100" t="str">
        <f t="shared" si="71"/>
        <v/>
      </c>
      <c r="P214" s="119" t="str">
        <f>IF('Temperature in bundle'!$P$4="Current = 1A per pair",2,IF($A214="","",('Temperature in bundle'!$Q$6-('Temperature in bundle'!$Q$6^2-4*(O214+Q$7)*'Temperature in bundle'!$Q$7)^0.5)/2/(O214+Q$7)))</f>
        <v/>
      </c>
      <c r="Q214" s="98" t="str">
        <f t="shared" si="79"/>
        <v/>
      </c>
      <c r="R214" s="101" t="str">
        <f t="shared" si="80"/>
        <v/>
      </c>
      <c r="T214" s="100" t="str">
        <f t="shared" si="72"/>
        <v/>
      </c>
      <c r="U214" s="119" t="str">
        <f>IF('Temperature in bundle'!$P$4="Current = 1A per pair",2,IF($A214="","",('Temperature in bundle'!$Q$6-('Temperature in bundle'!$Q$6^2-4*(T214+V$7)*'Temperature in bundle'!$Q$7)^0.5)/2/(T214+V$7)))</f>
        <v/>
      </c>
      <c r="V214" s="98" t="str">
        <f t="shared" si="73"/>
        <v/>
      </c>
      <c r="W214" s="101" t="str">
        <f t="shared" si="81"/>
        <v/>
      </c>
      <c r="Y214" s="100" t="str">
        <f t="shared" si="74"/>
        <v/>
      </c>
      <c r="Z214" s="119" t="str">
        <f>IF('Temperature in bundle'!$P$4="Current = 1A per pair",2,IF($A214="","",('Temperature in bundle'!$Q$6-('Temperature in bundle'!$Q$6^2-4*(Y214+AA$7)*'Temperature in bundle'!$Q$7)^0.5)/2/(Y214+AA$7)))</f>
        <v/>
      </c>
      <c r="AA214" s="98" t="str">
        <f t="shared" si="75"/>
        <v/>
      </c>
      <c r="AB214" s="101" t="str">
        <f t="shared" si="82"/>
        <v/>
      </c>
    </row>
    <row r="215" spans="1:28">
      <c r="A215" t="str">
        <f t="shared" si="83"/>
        <v/>
      </c>
      <c r="B215" s="113">
        <v>0</v>
      </c>
      <c r="C215" s="113">
        <f>SQRT(3)/2*8</f>
        <v>6.9282032302755088</v>
      </c>
      <c r="D215" s="113">
        <f t="shared" si="85"/>
        <v>6.9282032302755088</v>
      </c>
      <c r="E215" s="113" t="str">
        <f t="shared" si="76"/>
        <v/>
      </c>
      <c r="F215" s="113" t="str">
        <f t="shared" si="76"/>
        <v/>
      </c>
      <c r="G215" s="113" t="str">
        <f t="shared" si="84"/>
        <v/>
      </c>
      <c r="J215" s="116" t="str">
        <f t="shared" si="77"/>
        <v/>
      </c>
      <c r="K215" s="119" t="str">
        <f t="shared" si="69"/>
        <v/>
      </c>
      <c r="L215" s="98" t="str">
        <f t="shared" si="70"/>
        <v/>
      </c>
      <c r="M215" s="101" t="str">
        <f t="shared" si="78"/>
        <v/>
      </c>
      <c r="O215" s="100" t="str">
        <f t="shared" si="71"/>
        <v/>
      </c>
      <c r="P215" s="119" t="str">
        <f>IF('Temperature in bundle'!$P$4="Current = 1A per pair",2,IF($A215="","",('Temperature in bundle'!$Q$6-('Temperature in bundle'!$Q$6^2-4*(O215+Q$7)*'Temperature in bundle'!$Q$7)^0.5)/2/(O215+Q$7)))</f>
        <v/>
      </c>
      <c r="Q215" s="98" t="str">
        <f t="shared" si="79"/>
        <v/>
      </c>
      <c r="R215" s="101" t="str">
        <f t="shared" si="80"/>
        <v/>
      </c>
      <c r="T215" s="100" t="str">
        <f t="shared" si="72"/>
        <v/>
      </c>
      <c r="U215" s="119" t="str">
        <f>IF('Temperature in bundle'!$P$4="Current = 1A per pair",2,IF($A215="","",('Temperature in bundle'!$Q$6-('Temperature in bundle'!$Q$6^2-4*(T215+V$7)*'Temperature in bundle'!$Q$7)^0.5)/2/(T215+V$7)))</f>
        <v/>
      </c>
      <c r="V215" s="98" t="str">
        <f t="shared" si="73"/>
        <v/>
      </c>
      <c r="W215" s="101" t="str">
        <f t="shared" si="81"/>
        <v/>
      </c>
      <c r="Y215" s="100" t="str">
        <f t="shared" si="74"/>
        <v/>
      </c>
      <c r="Z215" s="119" t="str">
        <f>IF('Temperature in bundle'!$P$4="Current = 1A per pair",2,IF($A215="","",('Temperature in bundle'!$Q$6-('Temperature in bundle'!$Q$6^2-4*(Y215+AA$7)*'Temperature in bundle'!$Q$7)^0.5)/2/(Y215+AA$7)))</f>
        <v/>
      </c>
      <c r="AA215" s="98" t="str">
        <f t="shared" si="75"/>
        <v/>
      </c>
      <c r="AB215" s="101" t="str">
        <f t="shared" si="82"/>
        <v/>
      </c>
    </row>
    <row r="216" spans="1:28">
      <c r="A216" t="str">
        <f t="shared" si="83"/>
        <v/>
      </c>
      <c r="B216" s="113">
        <v>-6</v>
      </c>
      <c r="C216" s="113">
        <f>SQRT(3)/2*4</f>
        <v>3.4641016151377544</v>
      </c>
      <c r="D216" s="113">
        <f t="shared" si="85"/>
        <v>6.9282032302755088</v>
      </c>
      <c r="E216" s="113" t="str">
        <f t="shared" si="76"/>
        <v/>
      </c>
      <c r="F216" s="113" t="str">
        <f t="shared" si="76"/>
        <v/>
      </c>
      <c r="G216" s="113" t="str">
        <f t="shared" si="84"/>
        <v/>
      </c>
      <c r="J216" s="116" t="str">
        <f t="shared" si="77"/>
        <v/>
      </c>
      <c r="K216" s="119" t="str">
        <f t="shared" si="69"/>
        <v/>
      </c>
      <c r="L216" s="98" t="str">
        <f t="shared" si="70"/>
        <v/>
      </c>
      <c r="M216" s="101" t="str">
        <f t="shared" si="78"/>
        <v/>
      </c>
      <c r="O216" s="100" t="str">
        <f t="shared" si="71"/>
        <v/>
      </c>
      <c r="P216" s="119" t="str">
        <f>IF('Temperature in bundle'!$P$4="Current = 1A per pair",2,IF($A216="","",('Temperature in bundle'!$Q$6-('Temperature in bundle'!$Q$6^2-4*(O216+Q$7)*'Temperature in bundle'!$Q$7)^0.5)/2/(O216+Q$7)))</f>
        <v/>
      </c>
      <c r="Q216" s="98" t="str">
        <f t="shared" si="79"/>
        <v/>
      </c>
      <c r="R216" s="101" t="str">
        <f t="shared" si="80"/>
        <v/>
      </c>
      <c r="T216" s="100" t="str">
        <f t="shared" si="72"/>
        <v/>
      </c>
      <c r="U216" s="119" t="str">
        <f>IF('Temperature in bundle'!$P$4="Current = 1A per pair",2,IF($A216="","",('Temperature in bundle'!$Q$6-('Temperature in bundle'!$Q$6^2-4*(T216+V$7)*'Temperature in bundle'!$Q$7)^0.5)/2/(T216+V$7)))</f>
        <v/>
      </c>
      <c r="V216" s="98" t="str">
        <f t="shared" si="73"/>
        <v/>
      </c>
      <c r="W216" s="101" t="str">
        <f t="shared" si="81"/>
        <v/>
      </c>
      <c r="Y216" s="100" t="str">
        <f t="shared" si="74"/>
        <v/>
      </c>
      <c r="Z216" s="119" t="str">
        <f>IF('Temperature in bundle'!$P$4="Current = 1A per pair",2,IF($A216="","",('Temperature in bundle'!$Q$6-('Temperature in bundle'!$Q$6^2-4*(Y216+AA$7)*'Temperature in bundle'!$Q$7)^0.5)/2/(Y216+AA$7)))</f>
        <v/>
      </c>
      <c r="AA216" s="98" t="str">
        <f t="shared" si="75"/>
        <v/>
      </c>
      <c r="AB216" s="101" t="str">
        <f t="shared" si="82"/>
        <v/>
      </c>
    </row>
    <row r="217" spans="1:28">
      <c r="A217" t="str">
        <f t="shared" si="83"/>
        <v/>
      </c>
      <c r="B217" s="113">
        <v>-6</v>
      </c>
      <c r="C217" s="113">
        <f>(SQRT(3)/2*4)*-1</f>
        <v>-3.4641016151377544</v>
      </c>
      <c r="D217" s="113">
        <f t="shared" si="85"/>
        <v>6.9282032302755088</v>
      </c>
      <c r="E217" s="113" t="str">
        <f t="shared" si="76"/>
        <v/>
      </c>
      <c r="F217" s="113" t="str">
        <f t="shared" si="76"/>
        <v/>
      </c>
      <c r="G217" s="113" t="str">
        <f t="shared" si="84"/>
        <v/>
      </c>
      <c r="J217" s="116" t="str">
        <f t="shared" si="77"/>
        <v/>
      </c>
      <c r="K217" s="119" t="str">
        <f t="shared" si="69"/>
        <v/>
      </c>
      <c r="L217" s="98" t="str">
        <f t="shared" si="70"/>
        <v/>
      </c>
      <c r="M217" s="101" t="str">
        <f t="shared" si="78"/>
        <v/>
      </c>
      <c r="O217" s="100" t="str">
        <f t="shared" si="71"/>
        <v/>
      </c>
      <c r="P217" s="119" t="str">
        <f>IF('Temperature in bundle'!$P$4="Current = 1A per pair",2,IF($A217="","",('Temperature in bundle'!$Q$6-('Temperature in bundle'!$Q$6^2-4*(O217+Q$7)*'Temperature in bundle'!$Q$7)^0.5)/2/(O217+Q$7)))</f>
        <v/>
      </c>
      <c r="Q217" s="98" t="str">
        <f t="shared" si="79"/>
        <v/>
      </c>
      <c r="R217" s="101" t="str">
        <f t="shared" si="80"/>
        <v/>
      </c>
      <c r="T217" s="100" t="str">
        <f t="shared" si="72"/>
        <v/>
      </c>
      <c r="U217" s="119" t="str">
        <f>IF('Temperature in bundle'!$P$4="Current = 1A per pair",2,IF($A217="","",('Temperature in bundle'!$Q$6-('Temperature in bundle'!$Q$6^2-4*(T217+V$7)*'Temperature in bundle'!$Q$7)^0.5)/2/(T217+V$7)))</f>
        <v/>
      </c>
      <c r="V217" s="98" t="str">
        <f t="shared" si="73"/>
        <v/>
      </c>
      <c r="W217" s="101" t="str">
        <f t="shared" si="81"/>
        <v/>
      </c>
      <c r="Y217" s="100" t="str">
        <f t="shared" si="74"/>
        <v/>
      </c>
      <c r="Z217" s="119" t="str">
        <f>IF('Temperature in bundle'!$P$4="Current = 1A per pair",2,IF($A217="","",('Temperature in bundle'!$Q$6-('Temperature in bundle'!$Q$6^2-4*(Y217+AA$7)*'Temperature in bundle'!$Q$7)^0.5)/2/(Y217+AA$7)))</f>
        <v/>
      </c>
      <c r="AA217" s="98" t="str">
        <f t="shared" si="75"/>
        <v/>
      </c>
      <c r="AB217" s="101" t="str">
        <f t="shared" si="82"/>
        <v/>
      </c>
    </row>
    <row r="218" spans="1:28">
      <c r="A218" t="str">
        <f t="shared" si="83"/>
        <v/>
      </c>
      <c r="B218" s="113">
        <v>0</v>
      </c>
      <c r="C218" s="113">
        <f>(SQRT(3)/2*8)*-1</f>
        <v>-6.9282032302755088</v>
      </c>
      <c r="D218" s="113">
        <f t="shared" si="85"/>
        <v>6.9282032302755088</v>
      </c>
      <c r="E218" s="113" t="str">
        <f t="shared" si="76"/>
        <v/>
      </c>
      <c r="F218" s="113" t="str">
        <f t="shared" si="76"/>
        <v/>
      </c>
      <c r="G218" s="113" t="str">
        <f t="shared" si="84"/>
        <v/>
      </c>
      <c r="J218" s="116" t="str">
        <f t="shared" si="77"/>
        <v/>
      </c>
      <c r="K218" s="119" t="str">
        <f t="shared" si="69"/>
        <v/>
      </c>
      <c r="L218" s="98" t="str">
        <f t="shared" si="70"/>
        <v/>
      </c>
      <c r="M218" s="101" t="str">
        <f t="shared" si="78"/>
        <v/>
      </c>
      <c r="O218" s="100" t="str">
        <f t="shared" si="71"/>
        <v/>
      </c>
      <c r="P218" s="119" t="str">
        <f>IF('Temperature in bundle'!$P$4="Current = 1A per pair",2,IF($A218="","",('Temperature in bundle'!$Q$6-('Temperature in bundle'!$Q$6^2-4*(O218+Q$7)*'Temperature in bundle'!$Q$7)^0.5)/2/(O218+Q$7)))</f>
        <v/>
      </c>
      <c r="Q218" s="98" t="str">
        <f t="shared" si="79"/>
        <v/>
      </c>
      <c r="R218" s="101" t="str">
        <f t="shared" si="80"/>
        <v/>
      </c>
      <c r="T218" s="100" t="str">
        <f t="shared" si="72"/>
        <v/>
      </c>
      <c r="U218" s="119" t="str">
        <f>IF('Temperature in bundle'!$P$4="Current = 1A per pair",2,IF($A218="","",('Temperature in bundle'!$Q$6-('Temperature in bundle'!$Q$6^2-4*(T218+V$7)*'Temperature in bundle'!$Q$7)^0.5)/2/(T218+V$7)))</f>
        <v/>
      </c>
      <c r="V218" s="98" t="str">
        <f t="shared" si="73"/>
        <v/>
      </c>
      <c r="W218" s="101" t="str">
        <f t="shared" si="81"/>
        <v/>
      </c>
      <c r="Y218" s="100" t="str">
        <f t="shared" si="74"/>
        <v/>
      </c>
      <c r="Z218" s="119" t="str">
        <f>IF('Temperature in bundle'!$P$4="Current = 1A per pair",2,IF($A218="","",('Temperature in bundle'!$Q$6-('Temperature in bundle'!$Q$6^2-4*(Y218+AA$7)*'Temperature in bundle'!$Q$7)^0.5)/2/(Y218+AA$7)))</f>
        <v/>
      </c>
      <c r="AA218" s="98" t="str">
        <f t="shared" si="75"/>
        <v/>
      </c>
      <c r="AB218" s="101" t="str">
        <f t="shared" si="82"/>
        <v/>
      </c>
    </row>
    <row r="219" spans="1:28">
      <c r="A219" t="str">
        <f t="shared" si="83"/>
        <v/>
      </c>
      <c r="B219" s="113">
        <v>6</v>
      </c>
      <c r="C219" s="113">
        <f>(SQRT(3)/2*4)*-1</f>
        <v>-3.4641016151377544</v>
      </c>
      <c r="D219" s="113">
        <f t="shared" si="85"/>
        <v>6.9282032302755088</v>
      </c>
      <c r="E219" s="113" t="str">
        <f t="shared" si="76"/>
        <v/>
      </c>
      <c r="F219" s="113" t="str">
        <f t="shared" si="76"/>
        <v/>
      </c>
      <c r="G219" s="113" t="str">
        <f t="shared" si="84"/>
        <v/>
      </c>
      <c r="J219" s="116" t="str">
        <f t="shared" si="77"/>
        <v/>
      </c>
      <c r="K219" s="119" t="str">
        <f t="shared" si="69"/>
        <v/>
      </c>
      <c r="L219" s="98" t="str">
        <f t="shared" si="70"/>
        <v/>
      </c>
      <c r="M219" s="101" t="str">
        <f t="shared" si="78"/>
        <v/>
      </c>
      <c r="O219" s="100" t="str">
        <f t="shared" si="71"/>
        <v/>
      </c>
      <c r="P219" s="119" t="str">
        <f>IF('Temperature in bundle'!$P$4="Current = 1A per pair",2,IF($A219="","",('Temperature in bundle'!$Q$6-('Temperature in bundle'!$Q$6^2-4*(O219+Q$7)*'Temperature in bundle'!$Q$7)^0.5)/2/(O219+Q$7)))</f>
        <v/>
      </c>
      <c r="Q219" s="98" t="str">
        <f t="shared" si="79"/>
        <v/>
      </c>
      <c r="R219" s="101" t="str">
        <f t="shared" si="80"/>
        <v/>
      </c>
      <c r="T219" s="100" t="str">
        <f t="shared" si="72"/>
        <v/>
      </c>
      <c r="U219" s="119" t="str">
        <f>IF('Temperature in bundle'!$P$4="Current = 1A per pair",2,IF($A219="","",('Temperature in bundle'!$Q$6-('Temperature in bundle'!$Q$6^2-4*(T219+V$7)*'Temperature in bundle'!$Q$7)^0.5)/2/(T219+V$7)))</f>
        <v/>
      </c>
      <c r="V219" s="98" t="str">
        <f t="shared" si="73"/>
        <v/>
      </c>
      <c r="W219" s="101" t="str">
        <f t="shared" si="81"/>
        <v/>
      </c>
      <c r="Y219" s="100" t="str">
        <f t="shared" si="74"/>
        <v/>
      </c>
      <c r="Z219" s="119" t="str">
        <f>IF('Temperature in bundle'!$P$4="Current = 1A per pair",2,IF($A219="","",('Temperature in bundle'!$Q$6-('Temperature in bundle'!$Q$6^2-4*(Y219+AA$7)*'Temperature in bundle'!$Q$7)^0.5)/2/(Y219+AA$7)))</f>
        <v/>
      </c>
      <c r="AA219" s="98" t="str">
        <f t="shared" si="75"/>
        <v/>
      </c>
      <c r="AB219" s="101" t="str">
        <f t="shared" si="82"/>
        <v/>
      </c>
    </row>
    <row r="220" spans="1:28">
      <c r="A220" t="str">
        <f t="shared" si="83"/>
        <v/>
      </c>
      <c r="B220" s="113">
        <v>7</v>
      </c>
      <c r="C220" s="113">
        <v>0</v>
      </c>
      <c r="D220" s="113">
        <f t="shared" si="85"/>
        <v>7</v>
      </c>
      <c r="E220" s="113" t="str">
        <f t="shared" si="76"/>
        <v/>
      </c>
      <c r="F220" s="113" t="str">
        <f t="shared" si="76"/>
        <v/>
      </c>
      <c r="G220" s="113" t="str">
        <f t="shared" si="84"/>
        <v/>
      </c>
      <c r="J220" s="116" t="str">
        <f t="shared" si="77"/>
        <v/>
      </c>
      <c r="K220" s="119" t="str">
        <f t="shared" si="69"/>
        <v/>
      </c>
      <c r="L220" s="98" t="str">
        <f t="shared" si="70"/>
        <v/>
      </c>
      <c r="M220" s="101" t="str">
        <f t="shared" si="78"/>
        <v/>
      </c>
      <c r="O220" s="100" t="str">
        <f t="shared" si="71"/>
        <v/>
      </c>
      <c r="P220" s="119" t="str">
        <f>IF('Temperature in bundle'!$P$4="Current = 1A per pair",2,IF($A220="","",('Temperature in bundle'!$Q$6-('Temperature in bundle'!$Q$6^2-4*(O220+Q$7)*'Temperature in bundle'!$Q$7)^0.5)/2/(O220+Q$7)))</f>
        <v/>
      </c>
      <c r="Q220" s="98" t="str">
        <f t="shared" si="79"/>
        <v/>
      </c>
      <c r="R220" s="101" t="str">
        <f t="shared" si="80"/>
        <v/>
      </c>
      <c r="T220" s="100" t="str">
        <f t="shared" si="72"/>
        <v/>
      </c>
      <c r="U220" s="119" t="str">
        <f>IF('Temperature in bundle'!$P$4="Current = 1A per pair",2,IF($A220="","",('Temperature in bundle'!$Q$6-('Temperature in bundle'!$Q$6^2-4*(T220+V$7)*'Temperature in bundle'!$Q$7)^0.5)/2/(T220+V$7)))</f>
        <v/>
      </c>
      <c r="V220" s="98" t="str">
        <f t="shared" si="73"/>
        <v/>
      </c>
      <c r="W220" s="101" t="str">
        <f t="shared" si="81"/>
        <v/>
      </c>
      <c r="Y220" s="100" t="str">
        <f t="shared" si="74"/>
        <v/>
      </c>
      <c r="Z220" s="119" t="str">
        <f>IF('Temperature in bundle'!$P$4="Current = 1A per pair",2,IF($A220="","",('Temperature in bundle'!$Q$6-('Temperature in bundle'!$Q$6^2-4*(Y220+AA$7)*'Temperature in bundle'!$Q$7)^0.5)/2/(Y220+AA$7)))</f>
        <v/>
      </c>
      <c r="AA220" s="98" t="str">
        <f t="shared" si="75"/>
        <v/>
      </c>
      <c r="AB220" s="101" t="str">
        <f t="shared" si="82"/>
        <v/>
      </c>
    </row>
    <row r="221" spans="1:28">
      <c r="A221" t="str">
        <f t="shared" si="83"/>
        <v/>
      </c>
      <c r="B221" s="113">
        <v>3.5</v>
      </c>
      <c r="C221" s="113">
        <f>SQRT(3)/2*7</f>
        <v>6.0621778264910704</v>
      </c>
      <c r="D221" s="113">
        <f t="shared" si="85"/>
        <v>7</v>
      </c>
      <c r="E221" s="113" t="str">
        <f t="shared" si="76"/>
        <v/>
      </c>
      <c r="F221" s="113" t="str">
        <f t="shared" si="76"/>
        <v/>
      </c>
      <c r="G221" s="113" t="str">
        <f t="shared" si="84"/>
        <v/>
      </c>
      <c r="J221" s="116" t="str">
        <f t="shared" si="77"/>
        <v/>
      </c>
      <c r="K221" s="119" t="str">
        <f t="shared" si="69"/>
        <v/>
      </c>
      <c r="L221" s="98" t="str">
        <f t="shared" si="70"/>
        <v/>
      </c>
      <c r="M221" s="101" t="str">
        <f t="shared" si="78"/>
        <v/>
      </c>
      <c r="O221" s="100" t="str">
        <f t="shared" si="71"/>
        <v/>
      </c>
      <c r="P221" s="119" t="str">
        <f>IF('Temperature in bundle'!$P$4="Current = 1A per pair",2,IF($A221="","",('Temperature in bundle'!$Q$6-('Temperature in bundle'!$Q$6^2-4*(O221+Q$7)*'Temperature in bundle'!$Q$7)^0.5)/2/(O221+Q$7)))</f>
        <v/>
      </c>
      <c r="Q221" s="98" t="str">
        <f t="shared" si="79"/>
        <v/>
      </c>
      <c r="R221" s="101" t="str">
        <f t="shared" si="80"/>
        <v/>
      </c>
      <c r="T221" s="100" t="str">
        <f t="shared" si="72"/>
        <v/>
      </c>
      <c r="U221" s="119" t="str">
        <f>IF('Temperature in bundle'!$P$4="Current = 1A per pair",2,IF($A221="","",('Temperature in bundle'!$Q$6-('Temperature in bundle'!$Q$6^2-4*(T221+V$7)*'Temperature in bundle'!$Q$7)^0.5)/2/(T221+V$7)))</f>
        <v/>
      </c>
      <c r="V221" s="98" t="str">
        <f t="shared" si="73"/>
        <v/>
      </c>
      <c r="W221" s="101" t="str">
        <f t="shared" si="81"/>
        <v/>
      </c>
      <c r="Y221" s="100" t="str">
        <f t="shared" si="74"/>
        <v/>
      </c>
      <c r="Z221" s="119" t="str">
        <f>IF('Temperature in bundle'!$P$4="Current = 1A per pair",2,IF($A221="","",('Temperature in bundle'!$Q$6-('Temperature in bundle'!$Q$6^2-4*(Y221+AA$7)*'Temperature in bundle'!$Q$7)^0.5)/2/(Y221+AA$7)))</f>
        <v/>
      </c>
      <c r="AA221" s="98" t="str">
        <f t="shared" si="75"/>
        <v/>
      </c>
      <c r="AB221" s="101" t="str">
        <f t="shared" si="82"/>
        <v/>
      </c>
    </row>
    <row r="222" spans="1:28">
      <c r="A222" t="str">
        <f t="shared" si="83"/>
        <v/>
      </c>
      <c r="B222" s="113">
        <v>-3.5</v>
      </c>
      <c r="C222" s="113">
        <f>SQRT(3)/2*7</f>
        <v>6.0621778264910704</v>
      </c>
      <c r="D222" s="113">
        <f t="shared" si="85"/>
        <v>7</v>
      </c>
      <c r="E222" s="113" t="str">
        <f t="shared" si="76"/>
        <v/>
      </c>
      <c r="F222" s="113" t="str">
        <f t="shared" si="76"/>
        <v/>
      </c>
      <c r="G222" s="113" t="str">
        <f t="shared" si="84"/>
        <v/>
      </c>
      <c r="J222" s="116" t="str">
        <f t="shared" si="77"/>
        <v/>
      </c>
      <c r="K222" s="119" t="str">
        <f t="shared" si="69"/>
        <v/>
      </c>
      <c r="L222" s="98" t="str">
        <f t="shared" si="70"/>
        <v/>
      </c>
      <c r="M222" s="101" t="str">
        <f t="shared" si="78"/>
        <v/>
      </c>
      <c r="O222" s="100" t="str">
        <f t="shared" si="71"/>
        <v/>
      </c>
      <c r="P222" s="119" t="str">
        <f>IF('Temperature in bundle'!$P$4="Current = 1A per pair",2,IF($A222="","",('Temperature in bundle'!$Q$6-('Temperature in bundle'!$Q$6^2-4*(O222+Q$7)*'Temperature in bundle'!$Q$7)^0.5)/2/(O222+Q$7)))</f>
        <v/>
      </c>
      <c r="Q222" s="98" t="str">
        <f t="shared" si="79"/>
        <v/>
      </c>
      <c r="R222" s="101" t="str">
        <f t="shared" si="80"/>
        <v/>
      </c>
      <c r="T222" s="100" t="str">
        <f t="shared" si="72"/>
        <v/>
      </c>
      <c r="U222" s="119" t="str">
        <f>IF('Temperature in bundle'!$P$4="Current = 1A per pair",2,IF($A222="","",('Temperature in bundle'!$Q$6-('Temperature in bundle'!$Q$6^2-4*(T222+V$7)*'Temperature in bundle'!$Q$7)^0.5)/2/(T222+V$7)))</f>
        <v/>
      </c>
      <c r="V222" s="98" t="str">
        <f t="shared" si="73"/>
        <v/>
      </c>
      <c r="W222" s="101" t="str">
        <f t="shared" si="81"/>
        <v/>
      </c>
      <c r="Y222" s="100" t="str">
        <f t="shared" si="74"/>
        <v/>
      </c>
      <c r="Z222" s="119" t="str">
        <f>IF('Temperature in bundle'!$P$4="Current = 1A per pair",2,IF($A222="","",('Temperature in bundle'!$Q$6-('Temperature in bundle'!$Q$6^2-4*(Y222+AA$7)*'Temperature in bundle'!$Q$7)^0.5)/2/(Y222+AA$7)))</f>
        <v/>
      </c>
      <c r="AA222" s="98" t="str">
        <f t="shared" si="75"/>
        <v/>
      </c>
      <c r="AB222" s="101" t="str">
        <f t="shared" si="82"/>
        <v/>
      </c>
    </row>
    <row r="223" spans="1:28">
      <c r="A223" t="str">
        <f t="shared" si="83"/>
        <v/>
      </c>
      <c r="B223" s="113">
        <v>-7</v>
      </c>
      <c r="C223" s="113">
        <v>0</v>
      </c>
      <c r="D223" s="113">
        <f t="shared" si="85"/>
        <v>7</v>
      </c>
      <c r="E223" s="113" t="str">
        <f t="shared" si="76"/>
        <v/>
      </c>
      <c r="F223" s="113" t="str">
        <f t="shared" si="76"/>
        <v/>
      </c>
      <c r="G223" s="113" t="str">
        <f t="shared" si="84"/>
        <v/>
      </c>
      <c r="J223" s="116" t="str">
        <f t="shared" si="77"/>
        <v/>
      </c>
      <c r="K223" s="119" t="str">
        <f t="shared" si="69"/>
        <v/>
      </c>
      <c r="L223" s="98" t="str">
        <f t="shared" si="70"/>
        <v/>
      </c>
      <c r="M223" s="101" t="str">
        <f t="shared" si="78"/>
        <v/>
      </c>
      <c r="O223" s="100" t="str">
        <f t="shared" si="71"/>
        <v/>
      </c>
      <c r="P223" s="119" t="str">
        <f>IF('Temperature in bundle'!$P$4="Current = 1A per pair",2,IF($A223="","",('Temperature in bundle'!$Q$6-('Temperature in bundle'!$Q$6^2-4*(O223+Q$7)*'Temperature in bundle'!$Q$7)^0.5)/2/(O223+Q$7)))</f>
        <v/>
      </c>
      <c r="Q223" s="98" t="str">
        <f t="shared" si="79"/>
        <v/>
      </c>
      <c r="R223" s="101" t="str">
        <f t="shared" si="80"/>
        <v/>
      </c>
      <c r="T223" s="100" t="str">
        <f t="shared" si="72"/>
        <v/>
      </c>
      <c r="U223" s="119" t="str">
        <f>IF('Temperature in bundle'!$P$4="Current = 1A per pair",2,IF($A223="","",('Temperature in bundle'!$Q$6-('Temperature in bundle'!$Q$6^2-4*(T223+V$7)*'Temperature in bundle'!$Q$7)^0.5)/2/(T223+V$7)))</f>
        <v/>
      </c>
      <c r="V223" s="98" t="str">
        <f t="shared" si="73"/>
        <v/>
      </c>
      <c r="W223" s="101" t="str">
        <f t="shared" si="81"/>
        <v/>
      </c>
      <c r="Y223" s="100" t="str">
        <f t="shared" si="74"/>
        <v/>
      </c>
      <c r="Z223" s="119" t="str">
        <f>IF('Temperature in bundle'!$P$4="Current = 1A per pair",2,IF($A223="","",('Temperature in bundle'!$Q$6-('Temperature in bundle'!$Q$6^2-4*(Y223+AA$7)*'Temperature in bundle'!$Q$7)^0.5)/2/(Y223+AA$7)))</f>
        <v/>
      </c>
      <c r="AA223" s="98" t="str">
        <f t="shared" si="75"/>
        <v/>
      </c>
      <c r="AB223" s="101" t="str">
        <f t="shared" si="82"/>
        <v/>
      </c>
    </row>
    <row r="224" spans="1:28">
      <c r="A224" t="str">
        <f t="shared" si="83"/>
        <v/>
      </c>
      <c r="B224" s="113">
        <v>-3.5</v>
      </c>
      <c r="C224" s="113">
        <f>(SQRT(3)/2*7)*-1</f>
        <v>-6.0621778264910704</v>
      </c>
      <c r="D224" s="113">
        <f t="shared" si="85"/>
        <v>7</v>
      </c>
      <c r="E224" s="113" t="str">
        <f t="shared" si="76"/>
        <v/>
      </c>
      <c r="F224" s="113" t="str">
        <f t="shared" si="76"/>
        <v/>
      </c>
      <c r="G224" s="113" t="str">
        <f t="shared" si="84"/>
        <v/>
      </c>
      <c r="J224" s="116" t="str">
        <f t="shared" si="77"/>
        <v/>
      </c>
      <c r="K224" s="119" t="str">
        <f t="shared" si="69"/>
        <v/>
      </c>
      <c r="L224" s="98" t="str">
        <f t="shared" si="70"/>
        <v/>
      </c>
      <c r="M224" s="101" t="str">
        <f t="shared" si="78"/>
        <v/>
      </c>
      <c r="O224" s="100" t="str">
        <f t="shared" si="71"/>
        <v/>
      </c>
      <c r="P224" s="119" t="str">
        <f>IF('Temperature in bundle'!$P$4="Current = 1A per pair",2,IF($A224="","",('Temperature in bundle'!$Q$6-('Temperature in bundle'!$Q$6^2-4*(O224+Q$7)*'Temperature in bundle'!$Q$7)^0.5)/2/(O224+Q$7)))</f>
        <v/>
      </c>
      <c r="Q224" s="98" t="str">
        <f t="shared" si="79"/>
        <v/>
      </c>
      <c r="R224" s="101" t="str">
        <f t="shared" si="80"/>
        <v/>
      </c>
      <c r="T224" s="100" t="str">
        <f t="shared" si="72"/>
        <v/>
      </c>
      <c r="U224" s="119" t="str">
        <f>IF('Temperature in bundle'!$P$4="Current = 1A per pair",2,IF($A224="","",('Temperature in bundle'!$Q$6-('Temperature in bundle'!$Q$6^2-4*(T224+V$7)*'Temperature in bundle'!$Q$7)^0.5)/2/(T224+V$7)))</f>
        <v/>
      </c>
      <c r="V224" s="98" t="str">
        <f t="shared" si="73"/>
        <v/>
      </c>
      <c r="W224" s="101" t="str">
        <f t="shared" si="81"/>
        <v/>
      </c>
      <c r="Y224" s="100" t="str">
        <f t="shared" si="74"/>
        <v/>
      </c>
      <c r="Z224" s="119" t="str">
        <f>IF('Temperature in bundle'!$P$4="Current = 1A per pair",2,IF($A224="","",('Temperature in bundle'!$Q$6-('Temperature in bundle'!$Q$6^2-4*(Y224+AA$7)*'Temperature in bundle'!$Q$7)^0.5)/2/(Y224+AA$7)))</f>
        <v/>
      </c>
      <c r="AA224" s="98" t="str">
        <f t="shared" si="75"/>
        <v/>
      </c>
      <c r="AB224" s="101" t="str">
        <f t="shared" si="82"/>
        <v/>
      </c>
    </row>
    <row r="225" spans="1:28">
      <c r="A225" t="str">
        <f t="shared" si="83"/>
        <v/>
      </c>
      <c r="B225" s="113">
        <v>3.5</v>
      </c>
      <c r="C225" s="113">
        <f>(SQRT(3)/2*7)*-1</f>
        <v>-6.0621778264910704</v>
      </c>
      <c r="D225" s="113">
        <f t="shared" si="85"/>
        <v>7</v>
      </c>
      <c r="E225" s="113" t="str">
        <f t="shared" si="76"/>
        <v/>
      </c>
      <c r="F225" s="113" t="str">
        <f t="shared" si="76"/>
        <v/>
      </c>
      <c r="G225" s="113" t="str">
        <f t="shared" si="84"/>
        <v/>
      </c>
      <c r="J225" s="116" t="str">
        <f t="shared" si="77"/>
        <v/>
      </c>
      <c r="K225" s="119" t="str">
        <f t="shared" si="69"/>
        <v/>
      </c>
      <c r="L225" s="98" t="str">
        <f t="shared" si="70"/>
        <v/>
      </c>
      <c r="M225" s="101" t="str">
        <f t="shared" si="78"/>
        <v/>
      </c>
      <c r="O225" s="100" t="str">
        <f t="shared" si="71"/>
        <v/>
      </c>
      <c r="P225" s="119" t="str">
        <f>IF('Temperature in bundle'!$P$4="Current = 1A per pair",2,IF($A225="","",('Temperature in bundle'!$Q$6-('Temperature in bundle'!$Q$6^2-4*(O225+Q$7)*'Temperature in bundle'!$Q$7)^0.5)/2/(O225+Q$7)))</f>
        <v/>
      </c>
      <c r="Q225" s="98" t="str">
        <f t="shared" si="79"/>
        <v/>
      </c>
      <c r="R225" s="101" t="str">
        <f t="shared" si="80"/>
        <v/>
      </c>
      <c r="T225" s="100" t="str">
        <f t="shared" si="72"/>
        <v/>
      </c>
      <c r="U225" s="119" t="str">
        <f>IF('Temperature in bundle'!$P$4="Current = 1A per pair",2,IF($A225="","",('Temperature in bundle'!$Q$6-('Temperature in bundle'!$Q$6^2-4*(T225+V$7)*'Temperature in bundle'!$Q$7)^0.5)/2/(T225+V$7)))</f>
        <v/>
      </c>
      <c r="V225" s="98" t="str">
        <f t="shared" si="73"/>
        <v/>
      </c>
      <c r="W225" s="101" t="str">
        <f t="shared" si="81"/>
        <v/>
      </c>
      <c r="Y225" s="100" t="str">
        <f t="shared" si="74"/>
        <v/>
      </c>
      <c r="Z225" s="119" t="str">
        <f>IF('Temperature in bundle'!$P$4="Current = 1A per pair",2,IF($A225="","",('Temperature in bundle'!$Q$6-('Temperature in bundle'!$Q$6^2-4*(Y225+AA$7)*'Temperature in bundle'!$Q$7)^0.5)/2/(Y225+AA$7)))</f>
        <v/>
      </c>
      <c r="AA225" s="98" t="str">
        <f t="shared" si="75"/>
        <v/>
      </c>
      <c r="AB225" s="101" t="str">
        <f t="shared" si="82"/>
        <v/>
      </c>
    </row>
    <row r="226" spans="1:28">
      <c r="A226" t="str">
        <f t="shared" si="83"/>
        <v/>
      </c>
      <c r="B226" s="113">
        <v>6.5</v>
      </c>
      <c r="C226" s="113">
        <f>SQRT(3)/2*3</f>
        <v>2.598076211353316</v>
      </c>
      <c r="D226" s="113">
        <f t="shared" si="85"/>
        <v>7</v>
      </c>
      <c r="E226" s="113" t="str">
        <f t="shared" si="76"/>
        <v/>
      </c>
      <c r="F226" s="113" t="str">
        <f t="shared" si="76"/>
        <v/>
      </c>
      <c r="G226" s="113" t="str">
        <f t="shared" si="84"/>
        <v/>
      </c>
      <c r="J226" s="116" t="str">
        <f t="shared" si="77"/>
        <v/>
      </c>
      <c r="K226" s="119" t="str">
        <f t="shared" si="69"/>
        <v/>
      </c>
      <c r="L226" s="98" t="str">
        <f t="shared" si="70"/>
        <v/>
      </c>
      <c r="M226" s="101" t="str">
        <f t="shared" si="78"/>
        <v/>
      </c>
      <c r="O226" s="100" t="str">
        <f t="shared" si="71"/>
        <v/>
      </c>
      <c r="P226" s="119" t="str">
        <f>IF('Temperature in bundle'!$P$4="Current = 1A per pair",2,IF($A226="","",('Temperature in bundle'!$Q$6-('Temperature in bundle'!$Q$6^2-4*(O226+Q$7)*'Temperature in bundle'!$Q$7)^0.5)/2/(O226+Q$7)))</f>
        <v/>
      </c>
      <c r="Q226" s="98" t="str">
        <f t="shared" si="79"/>
        <v/>
      </c>
      <c r="R226" s="101" t="str">
        <f t="shared" si="80"/>
        <v/>
      </c>
      <c r="T226" s="100" t="str">
        <f t="shared" si="72"/>
        <v/>
      </c>
      <c r="U226" s="119" t="str">
        <f>IF('Temperature in bundle'!$P$4="Current = 1A per pair",2,IF($A226="","",('Temperature in bundle'!$Q$6-('Temperature in bundle'!$Q$6^2-4*(T226+V$7)*'Temperature in bundle'!$Q$7)^0.5)/2/(T226+V$7)))</f>
        <v/>
      </c>
      <c r="V226" s="98" t="str">
        <f t="shared" si="73"/>
        <v/>
      </c>
      <c r="W226" s="101" t="str">
        <f t="shared" si="81"/>
        <v/>
      </c>
      <c r="Y226" s="100" t="str">
        <f t="shared" si="74"/>
        <v/>
      </c>
      <c r="Z226" s="119" t="str">
        <f>IF('Temperature in bundle'!$P$4="Current = 1A per pair",2,IF($A226="","",('Temperature in bundle'!$Q$6-('Temperature in bundle'!$Q$6^2-4*(Y226+AA$7)*'Temperature in bundle'!$Q$7)^0.5)/2/(Y226+AA$7)))</f>
        <v/>
      </c>
      <c r="AA226" s="98" t="str">
        <f t="shared" si="75"/>
        <v/>
      </c>
      <c r="AB226" s="101" t="str">
        <f t="shared" si="82"/>
        <v/>
      </c>
    </row>
    <row r="227" spans="1:28">
      <c r="A227" t="str">
        <f t="shared" si="83"/>
        <v/>
      </c>
      <c r="B227" s="113">
        <v>5.5</v>
      </c>
      <c r="C227" s="113">
        <f>SQRT(3)/2*5</f>
        <v>4.3301270189221928</v>
      </c>
      <c r="D227" s="113">
        <f t="shared" si="85"/>
        <v>7</v>
      </c>
      <c r="E227" s="113" t="str">
        <f t="shared" si="76"/>
        <v/>
      </c>
      <c r="F227" s="113" t="str">
        <f t="shared" si="76"/>
        <v/>
      </c>
      <c r="G227" s="113" t="str">
        <f t="shared" si="84"/>
        <v/>
      </c>
      <c r="J227" s="116" t="str">
        <f t="shared" si="77"/>
        <v/>
      </c>
      <c r="K227" s="119" t="str">
        <f t="shared" si="69"/>
        <v/>
      </c>
      <c r="L227" s="98" t="str">
        <f t="shared" si="70"/>
        <v/>
      </c>
      <c r="M227" s="101" t="str">
        <f t="shared" si="78"/>
        <v/>
      </c>
      <c r="O227" s="100" t="str">
        <f t="shared" si="71"/>
        <v/>
      </c>
      <c r="P227" s="119" t="str">
        <f>IF('Temperature in bundle'!$P$4="Current = 1A per pair",2,IF($A227="","",('Temperature in bundle'!$Q$6-('Temperature in bundle'!$Q$6^2-4*(O227+Q$7)*'Temperature in bundle'!$Q$7)^0.5)/2/(O227+Q$7)))</f>
        <v/>
      </c>
      <c r="Q227" s="98" t="str">
        <f t="shared" si="79"/>
        <v/>
      </c>
      <c r="R227" s="101" t="str">
        <f t="shared" si="80"/>
        <v/>
      </c>
      <c r="T227" s="100" t="str">
        <f t="shared" si="72"/>
        <v/>
      </c>
      <c r="U227" s="119" t="str">
        <f>IF('Temperature in bundle'!$P$4="Current = 1A per pair",2,IF($A227="","",('Temperature in bundle'!$Q$6-('Temperature in bundle'!$Q$6^2-4*(T227+V$7)*'Temperature in bundle'!$Q$7)^0.5)/2/(T227+V$7)))</f>
        <v/>
      </c>
      <c r="V227" s="98" t="str">
        <f t="shared" si="73"/>
        <v/>
      </c>
      <c r="W227" s="101" t="str">
        <f t="shared" si="81"/>
        <v/>
      </c>
      <c r="Y227" s="100" t="str">
        <f t="shared" si="74"/>
        <v/>
      </c>
      <c r="Z227" s="119" t="str">
        <f>IF('Temperature in bundle'!$P$4="Current = 1A per pair",2,IF($A227="","",('Temperature in bundle'!$Q$6-('Temperature in bundle'!$Q$6^2-4*(Y227+AA$7)*'Temperature in bundle'!$Q$7)^0.5)/2/(Y227+AA$7)))</f>
        <v/>
      </c>
      <c r="AA227" s="98" t="str">
        <f t="shared" si="75"/>
        <v/>
      </c>
      <c r="AB227" s="101" t="str">
        <f t="shared" si="82"/>
        <v/>
      </c>
    </row>
    <row r="228" spans="1:28">
      <c r="A228" t="str">
        <f t="shared" si="83"/>
        <v/>
      </c>
      <c r="B228" s="113">
        <v>1</v>
      </c>
      <c r="C228" s="113">
        <f>SQRT(3)/2*8</f>
        <v>6.9282032302755088</v>
      </c>
      <c r="D228" s="113">
        <f t="shared" si="85"/>
        <v>6.9999999999999991</v>
      </c>
      <c r="E228" s="113" t="str">
        <f t="shared" si="76"/>
        <v/>
      </c>
      <c r="F228" s="113" t="str">
        <f t="shared" si="76"/>
        <v/>
      </c>
      <c r="G228" s="113" t="str">
        <f t="shared" si="84"/>
        <v/>
      </c>
      <c r="J228" s="116" t="str">
        <f t="shared" si="77"/>
        <v/>
      </c>
      <c r="K228" s="119" t="str">
        <f t="shared" si="69"/>
        <v/>
      </c>
      <c r="L228" s="98" t="str">
        <f t="shared" si="70"/>
        <v/>
      </c>
      <c r="M228" s="101" t="str">
        <f t="shared" si="78"/>
        <v/>
      </c>
      <c r="O228" s="100" t="str">
        <f t="shared" si="71"/>
        <v/>
      </c>
      <c r="P228" s="119" t="str">
        <f>IF('Temperature in bundle'!$P$4="Current = 1A per pair",2,IF($A228="","",('Temperature in bundle'!$Q$6-('Temperature in bundle'!$Q$6^2-4*(O228+Q$7)*'Temperature in bundle'!$Q$7)^0.5)/2/(O228+Q$7)))</f>
        <v/>
      </c>
      <c r="Q228" s="98" t="str">
        <f t="shared" si="79"/>
        <v/>
      </c>
      <c r="R228" s="101" t="str">
        <f t="shared" si="80"/>
        <v/>
      </c>
      <c r="T228" s="100" t="str">
        <f t="shared" si="72"/>
        <v/>
      </c>
      <c r="U228" s="119" t="str">
        <f>IF('Temperature in bundle'!$P$4="Current = 1A per pair",2,IF($A228="","",('Temperature in bundle'!$Q$6-('Temperature in bundle'!$Q$6^2-4*(T228+V$7)*'Temperature in bundle'!$Q$7)^0.5)/2/(T228+V$7)))</f>
        <v/>
      </c>
      <c r="V228" s="98" t="str">
        <f t="shared" si="73"/>
        <v/>
      </c>
      <c r="W228" s="101" t="str">
        <f t="shared" si="81"/>
        <v/>
      </c>
      <c r="Y228" s="100" t="str">
        <f t="shared" si="74"/>
        <v/>
      </c>
      <c r="Z228" s="119" t="str">
        <f>IF('Temperature in bundle'!$P$4="Current = 1A per pair",2,IF($A228="","",('Temperature in bundle'!$Q$6-('Temperature in bundle'!$Q$6^2-4*(Y228+AA$7)*'Temperature in bundle'!$Q$7)^0.5)/2/(Y228+AA$7)))</f>
        <v/>
      </c>
      <c r="AA228" s="98" t="str">
        <f t="shared" si="75"/>
        <v/>
      </c>
      <c r="AB228" s="101" t="str">
        <f t="shared" si="82"/>
        <v/>
      </c>
    </row>
    <row r="229" spans="1:28">
      <c r="A229" t="str">
        <f t="shared" si="83"/>
        <v/>
      </c>
      <c r="B229" s="113">
        <v>-1</v>
      </c>
      <c r="C229" s="113">
        <f>SQRT(3)/2*8</f>
        <v>6.9282032302755088</v>
      </c>
      <c r="D229" s="113">
        <f t="shared" si="85"/>
        <v>6.9999999999999991</v>
      </c>
      <c r="E229" s="113" t="str">
        <f t="shared" si="76"/>
        <v/>
      </c>
      <c r="F229" s="113" t="str">
        <f t="shared" si="76"/>
        <v/>
      </c>
      <c r="G229" s="113" t="str">
        <f t="shared" si="84"/>
        <v/>
      </c>
      <c r="J229" s="116" t="str">
        <f t="shared" si="77"/>
        <v/>
      </c>
      <c r="K229" s="119" t="str">
        <f t="shared" si="69"/>
        <v/>
      </c>
      <c r="L229" s="98" t="str">
        <f t="shared" si="70"/>
        <v/>
      </c>
      <c r="M229" s="101" t="str">
        <f t="shared" si="78"/>
        <v/>
      </c>
      <c r="O229" s="100" t="str">
        <f t="shared" si="71"/>
        <v/>
      </c>
      <c r="P229" s="119" t="str">
        <f>IF('Temperature in bundle'!$P$4="Current = 1A per pair",2,IF($A229="","",('Temperature in bundle'!$Q$6-('Temperature in bundle'!$Q$6^2-4*(O229+Q$7)*'Temperature in bundle'!$Q$7)^0.5)/2/(O229+Q$7)))</f>
        <v/>
      </c>
      <c r="Q229" s="98" t="str">
        <f t="shared" si="79"/>
        <v/>
      </c>
      <c r="R229" s="101" t="str">
        <f t="shared" si="80"/>
        <v/>
      </c>
      <c r="T229" s="100" t="str">
        <f t="shared" si="72"/>
        <v/>
      </c>
      <c r="U229" s="119" t="str">
        <f>IF('Temperature in bundle'!$P$4="Current = 1A per pair",2,IF($A229="","",('Temperature in bundle'!$Q$6-('Temperature in bundle'!$Q$6^2-4*(T229+V$7)*'Temperature in bundle'!$Q$7)^0.5)/2/(T229+V$7)))</f>
        <v/>
      </c>
      <c r="V229" s="98" t="str">
        <f t="shared" si="73"/>
        <v/>
      </c>
      <c r="W229" s="101" t="str">
        <f t="shared" si="81"/>
        <v/>
      </c>
      <c r="Y229" s="100" t="str">
        <f t="shared" si="74"/>
        <v/>
      </c>
      <c r="Z229" s="119" t="str">
        <f>IF('Temperature in bundle'!$P$4="Current = 1A per pair",2,IF($A229="","",('Temperature in bundle'!$Q$6-('Temperature in bundle'!$Q$6^2-4*(Y229+AA$7)*'Temperature in bundle'!$Q$7)^0.5)/2/(Y229+AA$7)))</f>
        <v/>
      </c>
      <c r="AA229" s="98" t="str">
        <f t="shared" si="75"/>
        <v/>
      </c>
      <c r="AB229" s="101" t="str">
        <f t="shared" si="82"/>
        <v/>
      </c>
    </row>
    <row r="230" spans="1:28">
      <c r="A230" t="str">
        <f t="shared" si="83"/>
        <v/>
      </c>
      <c r="B230" s="113">
        <v>-5.5</v>
      </c>
      <c r="C230" s="113">
        <f>SQRT(3)/2*5</f>
        <v>4.3301270189221928</v>
      </c>
      <c r="D230" s="113">
        <f t="shared" si="85"/>
        <v>7</v>
      </c>
      <c r="E230" s="113" t="str">
        <f t="shared" si="76"/>
        <v/>
      </c>
      <c r="F230" s="113" t="str">
        <f t="shared" si="76"/>
        <v/>
      </c>
      <c r="G230" s="113" t="str">
        <f t="shared" si="84"/>
        <v/>
      </c>
      <c r="J230" s="116" t="str">
        <f t="shared" si="77"/>
        <v/>
      </c>
      <c r="K230" s="119" t="str">
        <f t="shared" si="69"/>
        <v/>
      </c>
      <c r="L230" s="98" t="str">
        <f t="shared" si="70"/>
        <v/>
      </c>
      <c r="M230" s="101" t="str">
        <f t="shared" si="78"/>
        <v/>
      </c>
      <c r="O230" s="100" t="str">
        <f t="shared" si="71"/>
        <v/>
      </c>
      <c r="P230" s="119" t="str">
        <f>IF('Temperature in bundle'!$P$4="Current = 1A per pair",2,IF($A230="","",('Temperature in bundle'!$Q$6-('Temperature in bundle'!$Q$6^2-4*(O230+Q$7)*'Temperature in bundle'!$Q$7)^0.5)/2/(O230+Q$7)))</f>
        <v/>
      </c>
      <c r="Q230" s="98" t="str">
        <f t="shared" si="79"/>
        <v/>
      </c>
      <c r="R230" s="101" t="str">
        <f t="shared" si="80"/>
        <v/>
      </c>
      <c r="T230" s="100" t="str">
        <f t="shared" si="72"/>
        <v/>
      </c>
      <c r="U230" s="119" t="str">
        <f>IF('Temperature in bundle'!$P$4="Current = 1A per pair",2,IF($A230="","",('Temperature in bundle'!$Q$6-('Temperature in bundle'!$Q$6^2-4*(T230+V$7)*'Temperature in bundle'!$Q$7)^0.5)/2/(T230+V$7)))</f>
        <v/>
      </c>
      <c r="V230" s="98" t="str">
        <f t="shared" si="73"/>
        <v/>
      </c>
      <c r="W230" s="101" t="str">
        <f t="shared" si="81"/>
        <v/>
      </c>
      <c r="Y230" s="100" t="str">
        <f t="shared" si="74"/>
        <v/>
      </c>
      <c r="Z230" s="119" t="str">
        <f>IF('Temperature in bundle'!$P$4="Current = 1A per pair",2,IF($A230="","",('Temperature in bundle'!$Q$6-('Temperature in bundle'!$Q$6^2-4*(Y230+AA$7)*'Temperature in bundle'!$Q$7)^0.5)/2/(Y230+AA$7)))</f>
        <v/>
      </c>
      <c r="AA230" s="98" t="str">
        <f t="shared" si="75"/>
        <v/>
      </c>
      <c r="AB230" s="101" t="str">
        <f t="shared" si="82"/>
        <v/>
      </c>
    </row>
    <row r="231" spans="1:28">
      <c r="A231" t="str">
        <f t="shared" si="83"/>
        <v/>
      </c>
      <c r="B231" s="113">
        <v>-6.5</v>
      </c>
      <c r="C231" s="113">
        <f>SQRT(3)/2*3</f>
        <v>2.598076211353316</v>
      </c>
      <c r="D231" s="113">
        <f t="shared" si="85"/>
        <v>7</v>
      </c>
      <c r="E231" s="113" t="str">
        <f t="shared" si="76"/>
        <v/>
      </c>
      <c r="F231" s="113" t="str">
        <f t="shared" si="76"/>
        <v/>
      </c>
      <c r="G231" s="113" t="str">
        <f t="shared" si="84"/>
        <v/>
      </c>
      <c r="J231" s="116" t="str">
        <f t="shared" si="77"/>
        <v/>
      </c>
      <c r="K231" s="119" t="str">
        <f t="shared" si="69"/>
        <v/>
      </c>
      <c r="L231" s="98" t="str">
        <f t="shared" si="70"/>
        <v/>
      </c>
      <c r="M231" s="101" t="str">
        <f t="shared" si="78"/>
        <v/>
      </c>
      <c r="O231" s="100" t="str">
        <f t="shared" si="71"/>
        <v/>
      </c>
      <c r="P231" s="119" t="str">
        <f>IF('Temperature in bundle'!$P$4="Current = 1A per pair",2,IF($A231="","",('Temperature in bundle'!$Q$6-('Temperature in bundle'!$Q$6^2-4*(O231+Q$7)*'Temperature in bundle'!$Q$7)^0.5)/2/(O231+Q$7)))</f>
        <v/>
      </c>
      <c r="Q231" s="98" t="str">
        <f t="shared" si="79"/>
        <v/>
      </c>
      <c r="R231" s="101" t="str">
        <f t="shared" si="80"/>
        <v/>
      </c>
      <c r="T231" s="100" t="str">
        <f t="shared" si="72"/>
        <v/>
      </c>
      <c r="U231" s="119" t="str">
        <f>IF('Temperature in bundle'!$P$4="Current = 1A per pair",2,IF($A231="","",('Temperature in bundle'!$Q$6-('Temperature in bundle'!$Q$6^2-4*(T231+V$7)*'Temperature in bundle'!$Q$7)^0.5)/2/(T231+V$7)))</f>
        <v/>
      </c>
      <c r="V231" s="98" t="str">
        <f t="shared" si="73"/>
        <v/>
      </c>
      <c r="W231" s="101" t="str">
        <f t="shared" si="81"/>
        <v/>
      </c>
      <c r="Y231" s="100" t="str">
        <f t="shared" si="74"/>
        <v/>
      </c>
      <c r="Z231" s="119" t="str">
        <f>IF('Temperature in bundle'!$P$4="Current = 1A per pair",2,IF($A231="","",('Temperature in bundle'!$Q$6-('Temperature in bundle'!$Q$6^2-4*(Y231+AA$7)*'Temperature in bundle'!$Q$7)^0.5)/2/(Y231+AA$7)))</f>
        <v/>
      </c>
      <c r="AA231" s="98" t="str">
        <f t="shared" si="75"/>
        <v/>
      </c>
      <c r="AB231" s="101" t="str">
        <f t="shared" si="82"/>
        <v/>
      </c>
    </row>
    <row r="232" spans="1:28">
      <c r="A232" t="str">
        <f t="shared" si="83"/>
        <v/>
      </c>
      <c r="B232" s="113">
        <v>-6.5</v>
      </c>
      <c r="C232" s="113">
        <f>(SQRT(3)/2*3)*-1</f>
        <v>-2.598076211353316</v>
      </c>
      <c r="D232" s="113">
        <f t="shared" si="85"/>
        <v>7</v>
      </c>
      <c r="E232" s="113" t="str">
        <f t="shared" si="76"/>
        <v/>
      </c>
      <c r="F232" s="113" t="str">
        <f t="shared" si="76"/>
        <v/>
      </c>
      <c r="G232" s="113" t="str">
        <f t="shared" si="84"/>
        <v/>
      </c>
      <c r="J232" s="116" t="str">
        <f t="shared" si="77"/>
        <v/>
      </c>
      <c r="K232" s="119" t="str">
        <f t="shared" si="69"/>
        <v/>
      </c>
      <c r="L232" s="98" t="str">
        <f t="shared" si="70"/>
        <v/>
      </c>
      <c r="M232" s="101" t="str">
        <f t="shared" si="78"/>
        <v/>
      </c>
      <c r="O232" s="100" t="str">
        <f t="shared" si="71"/>
        <v/>
      </c>
      <c r="P232" s="119" t="str">
        <f>IF('Temperature in bundle'!$P$4="Current = 1A per pair",2,IF($A232="","",('Temperature in bundle'!$Q$6-('Temperature in bundle'!$Q$6^2-4*(O232+Q$7)*'Temperature in bundle'!$Q$7)^0.5)/2/(O232+Q$7)))</f>
        <v/>
      </c>
      <c r="Q232" s="98" t="str">
        <f t="shared" si="79"/>
        <v/>
      </c>
      <c r="R232" s="101" t="str">
        <f t="shared" si="80"/>
        <v/>
      </c>
      <c r="T232" s="100" t="str">
        <f t="shared" si="72"/>
        <v/>
      </c>
      <c r="U232" s="119" t="str">
        <f>IF('Temperature in bundle'!$P$4="Current = 1A per pair",2,IF($A232="","",('Temperature in bundle'!$Q$6-('Temperature in bundle'!$Q$6^2-4*(T232+V$7)*'Temperature in bundle'!$Q$7)^0.5)/2/(T232+V$7)))</f>
        <v/>
      </c>
      <c r="V232" s="98" t="str">
        <f t="shared" si="73"/>
        <v/>
      </c>
      <c r="W232" s="101" t="str">
        <f t="shared" si="81"/>
        <v/>
      </c>
      <c r="Y232" s="100" t="str">
        <f t="shared" si="74"/>
        <v/>
      </c>
      <c r="Z232" s="119" t="str">
        <f>IF('Temperature in bundle'!$P$4="Current = 1A per pair",2,IF($A232="","",('Temperature in bundle'!$Q$6-('Temperature in bundle'!$Q$6^2-4*(Y232+AA$7)*'Temperature in bundle'!$Q$7)^0.5)/2/(Y232+AA$7)))</f>
        <v/>
      </c>
      <c r="AA232" s="98" t="str">
        <f t="shared" si="75"/>
        <v/>
      </c>
      <c r="AB232" s="101" t="str">
        <f t="shared" si="82"/>
        <v/>
      </c>
    </row>
    <row r="233" spans="1:28">
      <c r="A233" t="str">
        <f t="shared" si="83"/>
        <v/>
      </c>
      <c r="B233" s="113">
        <v>-5.5</v>
      </c>
      <c r="C233" s="113">
        <f>(SQRT(3)/2*5)*-1</f>
        <v>-4.3301270189221928</v>
      </c>
      <c r="D233" s="113">
        <f t="shared" si="85"/>
        <v>7</v>
      </c>
      <c r="E233" s="113" t="str">
        <f t="shared" si="76"/>
        <v/>
      </c>
      <c r="F233" s="113" t="str">
        <f t="shared" si="76"/>
        <v/>
      </c>
      <c r="G233" s="113" t="str">
        <f t="shared" si="84"/>
        <v/>
      </c>
      <c r="J233" s="116" t="str">
        <f t="shared" si="77"/>
        <v/>
      </c>
      <c r="K233" s="119" t="str">
        <f t="shared" si="69"/>
        <v/>
      </c>
      <c r="L233" s="98" t="str">
        <f t="shared" si="70"/>
        <v/>
      </c>
      <c r="M233" s="101" t="str">
        <f t="shared" si="78"/>
        <v/>
      </c>
      <c r="O233" s="100" t="str">
        <f t="shared" si="71"/>
        <v/>
      </c>
      <c r="P233" s="119" t="str">
        <f>IF('Temperature in bundle'!$P$4="Current = 1A per pair",2,IF($A233="","",('Temperature in bundle'!$Q$6-('Temperature in bundle'!$Q$6^2-4*(O233+Q$7)*'Temperature in bundle'!$Q$7)^0.5)/2/(O233+Q$7)))</f>
        <v/>
      </c>
      <c r="Q233" s="98" t="str">
        <f t="shared" si="79"/>
        <v/>
      </c>
      <c r="R233" s="101" t="str">
        <f t="shared" si="80"/>
        <v/>
      </c>
      <c r="T233" s="100" t="str">
        <f t="shared" si="72"/>
        <v/>
      </c>
      <c r="U233" s="119" t="str">
        <f>IF('Temperature in bundle'!$P$4="Current = 1A per pair",2,IF($A233="","",('Temperature in bundle'!$Q$6-('Temperature in bundle'!$Q$6^2-4*(T233+V$7)*'Temperature in bundle'!$Q$7)^0.5)/2/(T233+V$7)))</f>
        <v/>
      </c>
      <c r="V233" s="98" t="str">
        <f t="shared" si="73"/>
        <v/>
      </c>
      <c r="W233" s="101" t="str">
        <f t="shared" si="81"/>
        <v/>
      </c>
      <c r="Y233" s="100" t="str">
        <f t="shared" si="74"/>
        <v/>
      </c>
      <c r="Z233" s="119" t="str">
        <f>IF('Temperature in bundle'!$P$4="Current = 1A per pair",2,IF($A233="","",('Temperature in bundle'!$Q$6-('Temperature in bundle'!$Q$6^2-4*(Y233+AA$7)*'Temperature in bundle'!$Q$7)^0.5)/2/(Y233+AA$7)))</f>
        <v/>
      </c>
      <c r="AA233" s="98" t="str">
        <f t="shared" si="75"/>
        <v/>
      </c>
      <c r="AB233" s="101" t="str">
        <f t="shared" si="82"/>
        <v/>
      </c>
    </row>
    <row r="234" spans="1:28">
      <c r="A234" t="str">
        <f t="shared" si="83"/>
        <v/>
      </c>
      <c r="B234" s="113">
        <v>-1</v>
      </c>
      <c r="C234" s="113">
        <f>(SQRT(3)/2*8)*-1</f>
        <v>-6.9282032302755088</v>
      </c>
      <c r="D234" s="113">
        <f t="shared" si="85"/>
        <v>6.9999999999999991</v>
      </c>
      <c r="E234" s="113" t="str">
        <f t="shared" si="76"/>
        <v/>
      </c>
      <c r="F234" s="113" t="str">
        <f t="shared" si="76"/>
        <v/>
      </c>
      <c r="G234" s="113" t="str">
        <f t="shared" si="84"/>
        <v/>
      </c>
      <c r="J234" s="116" t="str">
        <f t="shared" si="77"/>
        <v/>
      </c>
      <c r="K234" s="119" t="str">
        <f t="shared" si="69"/>
        <v/>
      </c>
      <c r="L234" s="98" t="str">
        <f t="shared" si="70"/>
        <v/>
      </c>
      <c r="M234" s="101" t="str">
        <f t="shared" si="78"/>
        <v/>
      </c>
      <c r="O234" s="100" t="str">
        <f t="shared" si="71"/>
        <v/>
      </c>
      <c r="P234" s="119" t="str">
        <f>IF('Temperature in bundle'!$P$4="Current = 1A per pair",2,IF($A234="","",('Temperature in bundle'!$Q$6-('Temperature in bundle'!$Q$6^2-4*(O234+Q$7)*'Temperature in bundle'!$Q$7)^0.5)/2/(O234+Q$7)))</f>
        <v/>
      </c>
      <c r="Q234" s="98" t="str">
        <f t="shared" si="79"/>
        <v/>
      </c>
      <c r="R234" s="101" t="str">
        <f t="shared" si="80"/>
        <v/>
      </c>
      <c r="T234" s="100" t="str">
        <f t="shared" si="72"/>
        <v/>
      </c>
      <c r="U234" s="119" t="str">
        <f>IF('Temperature in bundle'!$P$4="Current = 1A per pair",2,IF($A234="","",('Temperature in bundle'!$Q$6-('Temperature in bundle'!$Q$6^2-4*(T234+V$7)*'Temperature in bundle'!$Q$7)^0.5)/2/(T234+V$7)))</f>
        <v/>
      </c>
      <c r="V234" s="98" t="str">
        <f t="shared" si="73"/>
        <v/>
      </c>
      <c r="W234" s="101" t="str">
        <f t="shared" si="81"/>
        <v/>
      </c>
      <c r="Y234" s="100" t="str">
        <f t="shared" si="74"/>
        <v/>
      </c>
      <c r="Z234" s="119" t="str">
        <f>IF('Temperature in bundle'!$P$4="Current = 1A per pair",2,IF($A234="","",('Temperature in bundle'!$Q$6-('Temperature in bundle'!$Q$6^2-4*(Y234+AA$7)*'Temperature in bundle'!$Q$7)^0.5)/2/(Y234+AA$7)))</f>
        <v/>
      </c>
      <c r="AA234" s="98" t="str">
        <f t="shared" si="75"/>
        <v/>
      </c>
      <c r="AB234" s="101" t="str">
        <f t="shared" si="82"/>
        <v/>
      </c>
    </row>
    <row r="235" spans="1:28">
      <c r="A235" t="str">
        <f t="shared" si="83"/>
        <v/>
      </c>
      <c r="B235" s="113">
        <v>1</v>
      </c>
      <c r="C235" s="113">
        <f>(SQRT(3)/2*8)*-1</f>
        <v>-6.9282032302755088</v>
      </c>
      <c r="D235" s="113">
        <f t="shared" si="85"/>
        <v>6.9999999999999991</v>
      </c>
      <c r="E235" s="113" t="str">
        <f t="shared" si="76"/>
        <v/>
      </c>
      <c r="F235" s="113" t="str">
        <f t="shared" si="76"/>
        <v/>
      </c>
      <c r="G235" s="113" t="str">
        <f t="shared" si="84"/>
        <v/>
      </c>
      <c r="J235" s="116" t="str">
        <f t="shared" si="77"/>
        <v/>
      </c>
      <c r="K235" s="119" t="str">
        <f t="shared" si="69"/>
        <v/>
      </c>
      <c r="L235" s="98" t="str">
        <f t="shared" si="70"/>
        <v/>
      </c>
      <c r="M235" s="101" t="str">
        <f t="shared" si="78"/>
        <v/>
      </c>
      <c r="O235" s="100" t="str">
        <f t="shared" si="71"/>
        <v/>
      </c>
      <c r="P235" s="119" t="str">
        <f>IF('Temperature in bundle'!$P$4="Current = 1A per pair",2,IF($A235="","",('Temperature in bundle'!$Q$6-('Temperature in bundle'!$Q$6^2-4*(O235+Q$7)*'Temperature in bundle'!$Q$7)^0.5)/2/(O235+Q$7)))</f>
        <v/>
      </c>
      <c r="Q235" s="98" t="str">
        <f t="shared" si="79"/>
        <v/>
      </c>
      <c r="R235" s="101" t="str">
        <f t="shared" si="80"/>
        <v/>
      </c>
      <c r="T235" s="100" t="str">
        <f t="shared" si="72"/>
        <v/>
      </c>
      <c r="U235" s="119" t="str">
        <f>IF('Temperature in bundle'!$P$4="Current = 1A per pair",2,IF($A235="","",('Temperature in bundle'!$Q$6-('Temperature in bundle'!$Q$6^2-4*(T235+V$7)*'Temperature in bundle'!$Q$7)^0.5)/2/(T235+V$7)))</f>
        <v/>
      </c>
      <c r="V235" s="98" t="str">
        <f t="shared" si="73"/>
        <v/>
      </c>
      <c r="W235" s="101" t="str">
        <f t="shared" si="81"/>
        <v/>
      </c>
      <c r="Y235" s="100" t="str">
        <f t="shared" si="74"/>
        <v/>
      </c>
      <c r="Z235" s="119" t="str">
        <f>IF('Temperature in bundle'!$P$4="Current = 1A per pair",2,IF($A235="","",('Temperature in bundle'!$Q$6-('Temperature in bundle'!$Q$6^2-4*(Y235+AA$7)*'Temperature in bundle'!$Q$7)^0.5)/2/(Y235+AA$7)))</f>
        <v/>
      </c>
      <c r="AA235" s="98" t="str">
        <f t="shared" si="75"/>
        <v/>
      </c>
      <c r="AB235" s="101" t="str">
        <f t="shared" si="82"/>
        <v/>
      </c>
    </row>
    <row r="236" spans="1:28">
      <c r="A236" t="str">
        <f t="shared" si="83"/>
        <v/>
      </c>
      <c r="B236" s="113">
        <v>5.5</v>
      </c>
      <c r="C236" s="113">
        <f>(SQRT(3)/2*5)*-1</f>
        <v>-4.3301270189221928</v>
      </c>
      <c r="D236" s="113">
        <f t="shared" si="85"/>
        <v>7</v>
      </c>
      <c r="E236" s="113" t="str">
        <f t="shared" si="76"/>
        <v/>
      </c>
      <c r="F236" s="113" t="str">
        <f t="shared" si="76"/>
        <v/>
      </c>
      <c r="G236" s="113" t="str">
        <f t="shared" si="84"/>
        <v/>
      </c>
      <c r="J236" s="116" t="str">
        <f t="shared" si="77"/>
        <v/>
      </c>
      <c r="K236" s="119" t="str">
        <f t="shared" si="69"/>
        <v/>
      </c>
      <c r="L236" s="98" t="str">
        <f t="shared" si="70"/>
        <v/>
      </c>
      <c r="M236" s="101" t="str">
        <f t="shared" si="78"/>
        <v/>
      </c>
      <c r="O236" s="100" t="str">
        <f t="shared" si="71"/>
        <v/>
      </c>
      <c r="P236" s="119" t="str">
        <f>IF('Temperature in bundle'!$P$4="Current = 1A per pair",2,IF($A236="","",('Temperature in bundle'!$Q$6-('Temperature in bundle'!$Q$6^2-4*(O236+Q$7)*'Temperature in bundle'!$Q$7)^0.5)/2/(O236+Q$7)))</f>
        <v/>
      </c>
      <c r="Q236" s="98" t="str">
        <f t="shared" si="79"/>
        <v/>
      </c>
      <c r="R236" s="101" t="str">
        <f t="shared" si="80"/>
        <v/>
      </c>
      <c r="T236" s="100" t="str">
        <f t="shared" si="72"/>
        <v/>
      </c>
      <c r="U236" s="119" t="str">
        <f>IF('Temperature in bundle'!$P$4="Current = 1A per pair",2,IF($A236="","",('Temperature in bundle'!$Q$6-('Temperature in bundle'!$Q$6^2-4*(T236+V$7)*'Temperature in bundle'!$Q$7)^0.5)/2/(T236+V$7)))</f>
        <v/>
      </c>
      <c r="V236" s="98" t="str">
        <f t="shared" si="73"/>
        <v/>
      </c>
      <c r="W236" s="101" t="str">
        <f t="shared" si="81"/>
        <v/>
      </c>
      <c r="Y236" s="100" t="str">
        <f t="shared" si="74"/>
        <v/>
      </c>
      <c r="Z236" s="119" t="str">
        <f>IF('Temperature in bundle'!$P$4="Current = 1A per pair",2,IF($A236="","",('Temperature in bundle'!$Q$6-('Temperature in bundle'!$Q$6^2-4*(Y236+AA$7)*'Temperature in bundle'!$Q$7)^0.5)/2/(Y236+AA$7)))</f>
        <v/>
      </c>
      <c r="AA236" s="98" t="str">
        <f t="shared" si="75"/>
        <v/>
      </c>
      <c r="AB236" s="101" t="str">
        <f t="shared" si="82"/>
        <v/>
      </c>
    </row>
    <row r="237" spans="1:28">
      <c r="A237" t="str">
        <f t="shared" si="83"/>
        <v/>
      </c>
      <c r="B237" s="113">
        <v>6.5</v>
      </c>
      <c r="C237" s="113">
        <f>(SQRT(3)/2*3)*-1</f>
        <v>-2.598076211353316</v>
      </c>
      <c r="D237" s="113">
        <f t="shared" si="85"/>
        <v>7</v>
      </c>
      <c r="E237" s="113" t="str">
        <f t="shared" si="76"/>
        <v/>
      </c>
      <c r="F237" s="113" t="str">
        <f t="shared" si="76"/>
        <v/>
      </c>
      <c r="G237" s="113" t="str">
        <f t="shared" si="84"/>
        <v/>
      </c>
      <c r="J237" s="116" t="str">
        <f t="shared" si="77"/>
        <v/>
      </c>
      <c r="K237" s="119" t="str">
        <f t="shared" si="69"/>
        <v/>
      </c>
      <c r="L237" s="98" t="str">
        <f t="shared" si="70"/>
        <v/>
      </c>
      <c r="M237" s="101" t="str">
        <f t="shared" si="78"/>
        <v/>
      </c>
      <c r="O237" s="100" t="str">
        <f t="shared" si="71"/>
        <v/>
      </c>
      <c r="P237" s="119" t="str">
        <f>IF('Temperature in bundle'!$P$4="Current = 1A per pair",2,IF($A237="","",('Temperature in bundle'!$Q$6-('Temperature in bundle'!$Q$6^2-4*(O237+Q$7)*'Temperature in bundle'!$Q$7)^0.5)/2/(O237+Q$7)))</f>
        <v/>
      </c>
      <c r="Q237" s="98" t="str">
        <f t="shared" si="79"/>
        <v/>
      </c>
      <c r="R237" s="101" t="str">
        <f t="shared" si="80"/>
        <v/>
      </c>
      <c r="T237" s="100" t="str">
        <f t="shared" si="72"/>
        <v/>
      </c>
      <c r="U237" s="119" t="str">
        <f>IF('Temperature in bundle'!$P$4="Current = 1A per pair",2,IF($A237="","",('Temperature in bundle'!$Q$6-('Temperature in bundle'!$Q$6^2-4*(T237+V$7)*'Temperature in bundle'!$Q$7)^0.5)/2/(T237+V$7)))</f>
        <v/>
      </c>
      <c r="V237" s="98" t="str">
        <f t="shared" si="73"/>
        <v/>
      </c>
      <c r="W237" s="101" t="str">
        <f t="shared" si="81"/>
        <v/>
      </c>
      <c r="Y237" s="100" t="str">
        <f t="shared" si="74"/>
        <v/>
      </c>
      <c r="Z237" s="119" t="str">
        <f>IF('Temperature in bundle'!$P$4="Current = 1A per pair",2,IF($A237="","",('Temperature in bundle'!$Q$6-('Temperature in bundle'!$Q$6^2-4*(Y237+AA$7)*'Temperature in bundle'!$Q$7)^0.5)/2/(Y237+AA$7)))</f>
        <v/>
      </c>
      <c r="AA237" s="98" t="str">
        <f t="shared" si="75"/>
        <v/>
      </c>
      <c r="AB237" s="101" t="str">
        <f t="shared" si="82"/>
        <v/>
      </c>
    </row>
    <row r="238" spans="1:28">
      <c r="A238" t="str">
        <f t="shared" si="83"/>
        <v/>
      </c>
      <c r="B238" s="113">
        <v>7</v>
      </c>
      <c r="C238" s="113">
        <f>SQRT(3)/2*2</f>
        <v>1.7320508075688772</v>
      </c>
      <c r="D238" s="113">
        <f t="shared" si="85"/>
        <v>7.2111025509279782</v>
      </c>
      <c r="E238" s="113" t="str">
        <f t="shared" si="76"/>
        <v/>
      </c>
      <c r="F238" s="113" t="str">
        <f t="shared" si="76"/>
        <v/>
      </c>
      <c r="G238" s="113" t="str">
        <f t="shared" si="84"/>
        <v/>
      </c>
      <c r="J238" s="116" t="str">
        <f t="shared" si="77"/>
        <v/>
      </c>
      <c r="K238" s="119" t="str">
        <f t="shared" si="69"/>
        <v/>
      </c>
      <c r="L238" s="98" t="str">
        <f t="shared" si="70"/>
        <v/>
      </c>
      <c r="M238" s="101" t="str">
        <f t="shared" si="78"/>
        <v/>
      </c>
      <c r="O238" s="100" t="str">
        <f t="shared" si="71"/>
        <v/>
      </c>
      <c r="P238" s="119" t="str">
        <f>IF('Temperature in bundle'!$P$4="Current = 1A per pair",2,IF($A238="","",('Temperature in bundle'!$Q$6-('Temperature in bundle'!$Q$6^2-4*(O238+Q$7)*'Temperature in bundle'!$Q$7)^0.5)/2/(O238+Q$7)))</f>
        <v/>
      </c>
      <c r="Q238" s="98" t="str">
        <f t="shared" si="79"/>
        <v/>
      </c>
      <c r="R238" s="101" t="str">
        <f t="shared" si="80"/>
        <v/>
      </c>
      <c r="T238" s="100" t="str">
        <f t="shared" si="72"/>
        <v/>
      </c>
      <c r="U238" s="119" t="str">
        <f>IF('Temperature in bundle'!$P$4="Current = 1A per pair",2,IF($A238="","",('Temperature in bundle'!$Q$6-('Temperature in bundle'!$Q$6^2-4*(T238+V$7)*'Temperature in bundle'!$Q$7)^0.5)/2/(T238+V$7)))</f>
        <v/>
      </c>
      <c r="V238" s="98" t="str">
        <f t="shared" si="73"/>
        <v/>
      </c>
      <c r="W238" s="101" t="str">
        <f t="shared" si="81"/>
        <v/>
      </c>
      <c r="Y238" s="100" t="str">
        <f t="shared" si="74"/>
        <v/>
      </c>
      <c r="Z238" s="119" t="str">
        <f>IF('Temperature in bundle'!$P$4="Current = 1A per pair",2,IF($A238="","",('Temperature in bundle'!$Q$6-('Temperature in bundle'!$Q$6^2-4*(Y238+AA$7)*'Temperature in bundle'!$Q$7)^0.5)/2/(Y238+AA$7)))</f>
        <v/>
      </c>
      <c r="AA238" s="98" t="str">
        <f t="shared" si="75"/>
        <v/>
      </c>
      <c r="AB238" s="101" t="str">
        <f t="shared" si="82"/>
        <v/>
      </c>
    </row>
    <row r="239" spans="1:28">
      <c r="A239" t="str">
        <f t="shared" si="83"/>
        <v/>
      </c>
      <c r="B239" s="113">
        <v>5</v>
      </c>
      <c r="C239" s="113">
        <f>SQRT(3)/2*6</f>
        <v>5.196152422706632</v>
      </c>
      <c r="D239" s="113">
        <f t="shared" si="85"/>
        <v>7.2111025509279782</v>
      </c>
      <c r="E239" s="113" t="str">
        <f t="shared" si="76"/>
        <v/>
      </c>
      <c r="F239" s="113" t="str">
        <f t="shared" si="76"/>
        <v/>
      </c>
      <c r="G239" s="113" t="str">
        <f t="shared" si="84"/>
        <v/>
      </c>
      <c r="J239" s="116" t="str">
        <f t="shared" si="77"/>
        <v/>
      </c>
      <c r="K239" s="119" t="str">
        <f t="shared" si="69"/>
        <v/>
      </c>
      <c r="L239" s="98" t="str">
        <f t="shared" si="70"/>
        <v/>
      </c>
      <c r="M239" s="101" t="str">
        <f t="shared" si="78"/>
        <v/>
      </c>
      <c r="O239" s="100" t="str">
        <f t="shared" si="71"/>
        <v/>
      </c>
      <c r="P239" s="119" t="str">
        <f>IF('Temperature in bundle'!$P$4="Current = 1A per pair",2,IF($A239="","",('Temperature in bundle'!$Q$6-('Temperature in bundle'!$Q$6^2-4*(O239+Q$7)*'Temperature in bundle'!$Q$7)^0.5)/2/(O239+Q$7)))</f>
        <v/>
      </c>
      <c r="Q239" s="98" t="str">
        <f t="shared" si="79"/>
        <v/>
      </c>
      <c r="R239" s="101" t="str">
        <f t="shared" si="80"/>
        <v/>
      </c>
      <c r="T239" s="100" t="str">
        <f t="shared" si="72"/>
        <v/>
      </c>
      <c r="U239" s="119" t="str">
        <f>IF('Temperature in bundle'!$P$4="Current = 1A per pair",2,IF($A239="","",('Temperature in bundle'!$Q$6-('Temperature in bundle'!$Q$6^2-4*(T239+V$7)*'Temperature in bundle'!$Q$7)^0.5)/2/(T239+V$7)))</f>
        <v/>
      </c>
      <c r="V239" s="98" t="str">
        <f t="shared" si="73"/>
        <v/>
      </c>
      <c r="W239" s="101" t="str">
        <f t="shared" si="81"/>
        <v/>
      </c>
      <c r="Y239" s="100" t="str">
        <f t="shared" si="74"/>
        <v/>
      </c>
      <c r="Z239" s="119" t="str">
        <f>IF('Temperature in bundle'!$P$4="Current = 1A per pair",2,IF($A239="","",('Temperature in bundle'!$Q$6-('Temperature in bundle'!$Q$6^2-4*(Y239+AA$7)*'Temperature in bundle'!$Q$7)^0.5)/2/(Y239+AA$7)))</f>
        <v/>
      </c>
      <c r="AA239" s="98" t="str">
        <f t="shared" si="75"/>
        <v/>
      </c>
      <c r="AB239" s="101" t="str">
        <f t="shared" si="82"/>
        <v/>
      </c>
    </row>
    <row r="240" spans="1:28">
      <c r="A240" t="str">
        <f t="shared" si="83"/>
        <v/>
      </c>
      <c r="B240" s="113">
        <v>2</v>
      </c>
      <c r="C240" s="113">
        <f>SQRT(3)/2*8</f>
        <v>6.9282032302755088</v>
      </c>
      <c r="D240" s="113">
        <f t="shared" si="85"/>
        <v>7.2111025509279782</v>
      </c>
      <c r="E240" s="113" t="str">
        <f t="shared" si="76"/>
        <v/>
      </c>
      <c r="F240" s="113" t="str">
        <f t="shared" si="76"/>
        <v/>
      </c>
      <c r="G240" s="113" t="str">
        <f t="shared" si="84"/>
        <v/>
      </c>
      <c r="J240" s="116" t="str">
        <f t="shared" si="77"/>
        <v/>
      </c>
      <c r="K240" s="119" t="str">
        <f t="shared" si="69"/>
        <v/>
      </c>
      <c r="L240" s="98" t="str">
        <f t="shared" si="70"/>
        <v/>
      </c>
      <c r="M240" s="101" t="str">
        <f t="shared" si="78"/>
        <v/>
      </c>
      <c r="O240" s="100" t="str">
        <f t="shared" si="71"/>
        <v/>
      </c>
      <c r="P240" s="119" t="str">
        <f>IF('Temperature in bundle'!$P$4="Current = 1A per pair",2,IF($A240="","",('Temperature in bundle'!$Q$6-('Temperature in bundle'!$Q$6^2-4*(O240+Q$7)*'Temperature in bundle'!$Q$7)^0.5)/2/(O240+Q$7)))</f>
        <v/>
      </c>
      <c r="Q240" s="98" t="str">
        <f t="shared" si="79"/>
        <v/>
      </c>
      <c r="R240" s="101" t="str">
        <f t="shared" si="80"/>
        <v/>
      </c>
      <c r="T240" s="100" t="str">
        <f t="shared" si="72"/>
        <v/>
      </c>
      <c r="U240" s="119" t="str">
        <f>IF('Temperature in bundle'!$P$4="Current = 1A per pair",2,IF($A240="","",('Temperature in bundle'!$Q$6-('Temperature in bundle'!$Q$6^2-4*(T240+V$7)*'Temperature in bundle'!$Q$7)^0.5)/2/(T240+V$7)))</f>
        <v/>
      </c>
      <c r="V240" s="98" t="str">
        <f t="shared" si="73"/>
        <v/>
      </c>
      <c r="W240" s="101" t="str">
        <f t="shared" si="81"/>
        <v/>
      </c>
      <c r="Y240" s="100" t="str">
        <f t="shared" si="74"/>
        <v/>
      </c>
      <c r="Z240" s="119" t="str">
        <f>IF('Temperature in bundle'!$P$4="Current = 1A per pair",2,IF($A240="","",('Temperature in bundle'!$Q$6-('Temperature in bundle'!$Q$6^2-4*(Y240+AA$7)*'Temperature in bundle'!$Q$7)^0.5)/2/(Y240+AA$7)))</f>
        <v/>
      </c>
      <c r="AA240" s="98" t="str">
        <f t="shared" si="75"/>
        <v/>
      </c>
      <c r="AB240" s="101" t="str">
        <f t="shared" si="82"/>
        <v/>
      </c>
    </row>
    <row r="241" spans="1:28">
      <c r="A241" t="str">
        <f t="shared" si="83"/>
        <v/>
      </c>
      <c r="B241" s="113">
        <v>-2</v>
      </c>
      <c r="C241" s="113">
        <f>SQRT(3)/2*8</f>
        <v>6.9282032302755088</v>
      </c>
      <c r="D241" s="113">
        <f t="shared" si="85"/>
        <v>7.2111025509279782</v>
      </c>
      <c r="E241" s="113" t="str">
        <f t="shared" si="76"/>
        <v/>
      </c>
      <c r="F241" s="113" t="str">
        <f t="shared" si="76"/>
        <v/>
      </c>
      <c r="G241" s="113" t="str">
        <f t="shared" si="84"/>
        <v/>
      </c>
      <c r="J241" s="116" t="str">
        <f t="shared" si="77"/>
        <v/>
      </c>
      <c r="K241" s="119" t="str">
        <f t="shared" si="69"/>
        <v/>
      </c>
      <c r="L241" s="98" t="str">
        <f t="shared" si="70"/>
        <v/>
      </c>
      <c r="M241" s="101" t="str">
        <f t="shared" si="78"/>
        <v/>
      </c>
      <c r="O241" s="100" t="str">
        <f t="shared" si="71"/>
        <v/>
      </c>
      <c r="P241" s="119" t="str">
        <f>IF('Temperature in bundle'!$P$4="Current = 1A per pair",2,IF($A241="","",('Temperature in bundle'!$Q$6-('Temperature in bundle'!$Q$6^2-4*(O241+Q$7)*'Temperature in bundle'!$Q$7)^0.5)/2/(O241+Q$7)))</f>
        <v/>
      </c>
      <c r="Q241" s="98" t="str">
        <f t="shared" si="79"/>
        <v/>
      </c>
      <c r="R241" s="101" t="str">
        <f t="shared" si="80"/>
        <v/>
      </c>
      <c r="T241" s="100" t="str">
        <f t="shared" si="72"/>
        <v/>
      </c>
      <c r="U241" s="119" t="str">
        <f>IF('Temperature in bundle'!$P$4="Current = 1A per pair",2,IF($A241="","",('Temperature in bundle'!$Q$6-('Temperature in bundle'!$Q$6^2-4*(T241+V$7)*'Temperature in bundle'!$Q$7)^0.5)/2/(T241+V$7)))</f>
        <v/>
      </c>
      <c r="V241" s="98" t="str">
        <f t="shared" si="73"/>
        <v/>
      </c>
      <c r="W241" s="101" t="str">
        <f t="shared" si="81"/>
        <v/>
      </c>
      <c r="Y241" s="100" t="str">
        <f t="shared" si="74"/>
        <v/>
      </c>
      <c r="Z241" s="119" t="str">
        <f>IF('Temperature in bundle'!$P$4="Current = 1A per pair",2,IF($A241="","",('Temperature in bundle'!$Q$6-('Temperature in bundle'!$Q$6^2-4*(Y241+AA$7)*'Temperature in bundle'!$Q$7)^0.5)/2/(Y241+AA$7)))</f>
        <v/>
      </c>
      <c r="AA241" s="98" t="str">
        <f t="shared" si="75"/>
        <v/>
      </c>
      <c r="AB241" s="101" t="str">
        <f t="shared" si="82"/>
        <v/>
      </c>
    </row>
    <row r="242" spans="1:28">
      <c r="A242" t="str">
        <f t="shared" si="83"/>
        <v/>
      </c>
      <c r="B242" s="113">
        <v>-5</v>
      </c>
      <c r="C242" s="113">
        <f>SQRT(3)/2*6</f>
        <v>5.196152422706632</v>
      </c>
      <c r="D242" s="113">
        <f t="shared" si="85"/>
        <v>7.2111025509279782</v>
      </c>
      <c r="E242" s="113" t="str">
        <f t="shared" si="76"/>
        <v/>
      </c>
      <c r="F242" s="113" t="str">
        <f t="shared" si="76"/>
        <v/>
      </c>
      <c r="G242" s="113" t="str">
        <f t="shared" si="84"/>
        <v/>
      </c>
      <c r="J242" s="116" t="str">
        <f t="shared" si="77"/>
        <v/>
      </c>
      <c r="K242" s="119" t="str">
        <f t="shared" si="69"/>
        <v/>
      </c>
      <c r="L242" s="98" t="str">
        <f t="shared" si="70"/>
        <v/>
      </c>
      <c r="M242" s="101" t="str">
        <f t="shared" si="78"/>
        <v/>
      </c>
      <c r="O242" s="100" t="str">
        <f t="shared" si="71"/>
        <v/>
      </c>
      <c r="P242" s="119" t="str">
        <f>IF('Temperature in bundle'!$P$4="Current = 1A per pair",2,IF($A242="","",('Temperature in bundle'!$Q$6-('Temperature in bundle'!$Q$6^2-4*(O242+Q$7)*'Temperature in bundle'!$Q$7)^0.5)/2/(O242+Q$7)))</f>
        <v/>
      </c>
      <c r="Q242" s="98" t="str">
        <f t="shared" si="79"/>
        <v/>
      </c>
      <c r="R242" s="101" t="str">
        <f t="shared" si="80"/>
        <v/>
      </c>
      <c r="T242" s="100" t="str">
        <f t="shared" si="72"/>
        <v/>
      </c>
      <c r="U242" s="119" t="str">
        <f>IF('Temperature in bundle'!$P$4="Current = 1A per pair",2,IF($A242="","",('Temperature in bundle'!$Q$6-('Temperature in bundle'!$Q$6^2-4*(T242+V$7)*'Temperature in bundle'!$Q$7)^0.5)/2/(T242+V$7)))</f>
        <v/>
      </c>
      <c r="V242" s="98" t="str">
        <f t="shared" si="73"/>
        <v/>
      </c>
      <c r="W242" s="101" t="str">
        <f t="shared" si="81"/>
        <v/>
      </c>
      <c r="Y242" s="100" t="str">
        <f t="shared" si="74"/>
        <v/>
      </c>
      <c r="Z242" s="119" t="str">
        <f>IF('Temperature in bundle'!$P$4="Current = 1A per pair",2,IF($A242="","",('Temperature in bundle'!$Q$6-('Temperature in bundle'!$Q$6^2-4*(Y242+AA$7)*'Temperature in bundle'!$Q$7)^0.5)/2/(Y242+AA$7)))</f>
        <v/>
      </c>
      <c r="AA242" s="98" t="str">
        <f t="shared" si="75"/>
        <v/>
      </c>
      <c r="AB242" s="101" t="str">
        <f t="shared" si="82"/>
        <v/>
      </c>
    </row>
    <row r="243" spans="1:28">
      <c r="A243" t="str">
        <f t="shared" si="83"/>
        <v/>
      </c>
      <c r="B243" s="113">
        <v>-7</v>
      </c>
      <c r="C243" s="113">
        <f>SQRT(3)/2*2</f>
        <v>1.7320508075688772</v>
      </c>
      <c r="D243" s="113">
        <f t="shared" si="85"/>
        <v>7.2111025509279782</v>
      </c>
      <c r="E243" s="113" t="str">
        <f t="shared" si="76"/>
        <v/>
      </c>
      <c r="F243" s="113" t="str">
        <f t="shared" si="76"/>
        <v/>
      </c>
      <c r="G243" s="113" t="str">
        <f t="shared" si="84"/>
        <v/>
      </c>
      <c r="J243" s="116" t="str">
        <f t="shared" si="77"/>
        <v/>
      </c>
      <c r="K243" s="119" t="str">
        <f t="shared" ref="K243:K249" si="86">IF($A243="","",$C$12)</f>
        <v/>
      </c>
      <c r="L243" s="98" t="str">
        <f t="shared" ref="L243:L249" si="87">IF($A243="","",J243*K243^2)</f>
        <v/>
      </c>
      <c r="M243" s="101" t="str">
        <f t="shared" si="78"/>
        <v/>
      </c>
      <c r="O243" s="100" t="str">
        <f t="shared" ref="O243:O249" si="88">IF($A243="","",$J243*(1+0.0039*M243))</f>
        <v/>
      </c>
      <c r="P243" s="119" t="str">
        <f>IF('Temperature in bundle'!$P$4="Current = 1A per pair",2,IF($A243="","",('Temperature in bundle'!$Q$6-('Temperature in bundle'!$Q$6^2-4*(O243+Q$7)*'Temperature in bundle'!$Q$7)^0.5)/2/(O243+Q$7)))</f>
        <v/>
      </c>
      <c r="Q243" s="98" t="str">
        <f t="shared" si="79"/>
        <v/>
      </c>
      <c r="R243" s="101" t="str">
        <f t="shared" si="80"/>
        <v/>
      </c>
      <c r="T243" s="100" t="str">
        <f t="shared" ref="T243:T249" si="89">IF($A243="","",$J243*(1+0.0039*R243))</f>
        <v/>
      </c>
      <c r="U243" s="119" t="str">
        <f>IF('Temperature in bundle'!$P$4="Current = 1A per pair",2,IF($A243="","",('Temperature in bundle'!$Q$6-('Temperature in bundle'!$Q$6^2-4*(T243+V$7)*'Temperature in bundle'!$Q$7)^0.5)/2/(T243+V$7)))</f>
        <v/>
      </c>
      <c r="V243" s="98" t="str">
        <f t="shared" ref="V243:V249" si="90">IF($A243="","",T243*U243^2)</f>
        <v/>
      </c>
      <c r="W243" s="101" t="str">
        <f t="shared" si="81"/>
        <v/>
      </c>
      <c r="Y243" s="100" t="str">
        <f t="shared" ref="Y243:Y249" si="91">IF($A243="","",$J243*(1+0.0039*W243))</f>
        <v/>
      </c>
      <c r="Z243" s="119" t="str">
        <f>IF('Temperature in bundle'!$P$4="Current = 1A per pair",2,IF($A243="","",('Temperature in bundle'!$Q$6-('Temperature in bundle'!$Q$6^2-4*(Y243+AA$7)*'Temperature in bundle'!$Q$7)^0.5)/2/(Y243+AA$7)))</f>
        <v/>
      </c>
      <c r="AA243" s="98" t="str">
        <f t="shared" ref="AA243:AA249" si="92">IF($A243="","",Y243*Z243^2)</f>
        <v/>
      </c>
      <c r="AB243" s="101" t="str">
        <f t="shared" si="82"/>
        <v/>
      </c>
    </row>
    <row r="244" spans="1:28">
      <c r="A244" t="str">
        <f t="shared" si="83"/>
        <v/>
      </c>
      <c r="B244" s="113">
        <v>-7</v>
      </c>
      <c r="C244" s="113">
        <f>(SQRT(3)/2*2)*-1</f>
        <v>-1.7320508075688772</v>
      </c>
      <c r="D244" s="113">
        <f t="shared" si="85"/>
        <v>7.2111025509279782</v>
      </c>
      <c r="E244" s="113" t="str">
        <f t="shared" ref="E244:F249" si="93">IF($A244="","",B244)</f>
        <v/>
      </c>
      <c r="F244" s="113" t="str">
        <f t="shared" si="93"/>
        <v/>
      </c>
      <c r="G244" s="113" t="str">
        <f t="shared" si="84"/>
        <v/>
      </c>
      <c r="J244" s="116" t="str">
        <f t="shared" ref="J244:J249" si="94">IF($A244="","",$E$10)</f>
        <v/>
      </c>
      <c r="K244" s="119" t="str">
        <f t="shared" si="86"/>
        <v/>
      </c>
      <c r="L244" s="98" t="str">
        <f t="shared" si="87"/>
        <v/>
      </c>
      <c r="M244" s="101" t="str">
        <f t="shared" ref="M244:M249" si="95">IF($A244="","",L$3+L$4*(1-3.63*$G244^2/$E$15))</f>
        <v/>
      </c>
      <c r="O244" s="100" t="str">
        <f t="shared" si="88"/>
        <v/>
      </c>
      <c r="P244" s="119" t="str">
        <f>IF('Temperature in bundle'!$P$4="Current = 1A per pair",2,IF($A244="","",('Temperature in bundle'!$Q$6-('Temperature in bundle'!$Q$6^2-4*(O244+Q$7)*'Temperature in bundle'!$Q$7)^0.5)/2/(O244+Q$7)))</f>
        <v/>
      </c>
      <c r="Q244" s="98" t="str">
        <f t="shared" ref="Q244:Q249" si="96">IF($A244="","",O244*P244^2)</f>
        <v/>
      </c>
      <c r="R244" s="101" t="str">
        <f t="shared" ref="R244:R249" si="97">IF($A244="","",Q$3+Q$4*(1-3.63*$G244^2/$E$15))</f>
        <v/>
      </c>
      <c r="T244" s="100" t="str">
        <f t="shared" si="89"/>
        <v/>
      </c>
      <c r="U244" s="119" t="str">
        <f>IF('Temperature in bundle'!$P$4="Current = 1A per pair",2,IF($A244="","",('Temperature in bundle'!$Q$6-('Temperature in bundle'!$Q$6^2-4*(T244+V$7)*'Temperature in bundle'!$Q$7)^0.5)/2/(T244+V$7)))</f>
        <v/>
      </c>
      <c r="V244" s="98" t="str">
        <f t="shared" si="90"/>
        <v/>
      </c>
      <c r="W244" s="101" t="str">
        <f t="shared" ref="W244:W249" si="98">IF($A244="","",V$3+V$4*(1-3.63*$G244^2/$E$15))</f>
        <v/>
      </c>
      <c r="Y244" s="100" t="str">
        <f t="shared" si="91"/>
        <v/>
      </c>
      <c r="Z244" s="119" t="str">
        <f>IF('Temperature in bundle'!$P$4="Current = 1A per pair",2,IF($A244="","",('Temperature in bundle'!$Q$6-('Temperature in bundle'!$Q$6^2-4*(Y244+AA$7)*'Temperature in bundle'!$Q$7)^0.5)/2/(Y244+AA$7)))</f>
        <v/>
      </c>
      <c r="AA244" s="98" t="str">
        <f t="shared" si="92"/>
        <v/>
      </c>
      <c r="AB244" s="101" t="str">
        <f t="shared" ref="AB244:AB249" si="99">IF($A244="","",AA$3+AA$4*(1-3.63*$G244^2/$E$15))</f>
        <v/>
      </c>
    </row>
    <row r="245" spans="1:28">
      <c r="A245" t="str">
        <f t="shared" ref="A245:A249" si="100">IF(A244&lt;E$15,A244+1,"")</f>
        <v/>
      </c>
      <c r="B245" s="113">
        <v>-5</v>
      </c>
      <c r="C245" s="113">
        <f>(SQRT(3)/2*6)*-1</f>
        <v>-5.196152422706632</v>
      </c>
      <c r="D245" s="113">
        <f t="shared" si="85"/>
        <v>7.2111025509279782</v>
      </c>
      <c r="E245" s="113" t="str">
        <f t="shared" si="93"/>
        <v/>
      </c>
      <c r="F245" s="113" t="str">
        <f t="shared" si="93"/>
        <v/>
      </c>
      <c r="G245" s="113" t="str">
        <f t="shared" ref="G245:G249" si="101">IF(A245="","",((E$50-E245)^2+(F$50-F245)^2)^0.5)</f>
        <v/>
      </c>
      <c r="J245" s="116" t="str">
        <f t="shared" si="94"/>
        <v/>
      </c>
      <c r="K245" s="119" t="str">
        <f t="shared" si="86"/>
        <v/>
      </c>
      <c r="L245" s="98" t="str">
        <f t="shared" si="87"/>
        <v/>
      </c>
      <c r="M245" s="101" t="str">
        <f t="shared" si="95"/>
        <v/>
      </c>
      <c r="O245" s="100" t="str">
        <f t="shared" si="88"/>
        <v/>
      </c>
      <c r="P245" s="119" t="str">
        <f>IF('Temperature in bundle'!$P$4="Current = 1A per pair",2,IF($A245="","",('Temperature in bundle'!$Q$6-('Temperature in bundle'!$Q$6^2-4*(O245+Q$7)*'Temperature in bundle'!$Q$7)^0.5)/2/(O245+Q$7)))</f>
        <v/>
      </c>
      <c r="Q245" s="98" t="str">
        <f t="shared" si="96"/>
        <v/>
      </c>
      <c r="R245" s="101" t="str">
        <f t="shared" si="97"/>
        <v/>
      </c>
      <c r="T245" s="100" t="str">
        <f t="shared" si="89"/>
        <v/>
      </c>
      <c r="U245" s="119" t="str">
        <f>IF('Temperature in bundle'!$P$4="Current = 1A per pair",2,IF($A245="","",('Temperature in bundle'!$Q$6-('Temperature in bundle'!$Q$6^2-4*(T245+V$7)*'Temperature in bundle'!$Q$7)^0.5)/2/(T245+V$7)))</f>
        <v/>
      </c>
      <c r="V245" s="98" t="str">
        <f t="shared" si="90"/>
        <v/>
      </c>
      <c r="W245" s="101" t="str">
        <f t="shared" si="98"/>
        <v/>
      </c>
      <c r="Y245" s="100" t="str">
        <f t="shared" si="91"/>
        <v/>
      </c>
      <c r="Z245" s="119" t="str">
        <f>IF('Temperature in bundle'!$P$4="Current = 1A per pair",2,IF($A245="","",('Temperature in bundle'!$Q$6-('Temperature in bundle'!$Q$6^2-4*(Y245+AA$7)*'Temperature in bundle'!$Q$7)^0.5)/2/(Y245+AA$7)))</f>
        <v/>
      </c>
      <c r="AA245" s="98" t="str">
        <f t="shared" si="92"/>
        <v/>
      </c>
      <c r="AB245" s="101" t="str">
        <f t="shared" si="99"/>
        <v/>
      </c>
    </row>
    <row r="246" spans="1:28">
      <c r="A246" t="str">
        <f t="shared" si="100"/>
        <v/>
      </c>
      <c r="B246" s="113">
        <v>-2</v>
      </c>
      <c r="C246" s="113">
        <f>(SQRT(3)/2*8)*-1</f>
        <v>-6.9282032302755088</v>
      </c>
      <c r="D246" s="113">
        <f t="shared" ref="D246:D249" si="102">(B246^2+C246^2)^0.5</f>
        <v>7.2111025509279782</v>
      </c>
      <c r="E246" s="113" t="str">
        <f t="shared" si="93"/>
        <v/>
      </c>
      <c r="F246" s="113" t="str">
        <f t="shared" si="93"/>
        <v/>
      </c>
      <c r="G246" s="113" t="str">
        <f t="shared" si="101"/>
        <v/>
      </c>
      <c r="J246" s="116" t="str">
        <f t="shared" si="94"/>
        <v/>
      </c>
      <c r="K246" s="119" t="str">
        <f t="shared" si="86"/>
        <v/>
      </c>
      <c r="L246" s="98" t="str">
        <f t="shared" si="87"/>
        <v/>
      </c>
      <c r="M246" s="101" t="str">
        <f t="shared" si="95"/>
        <v/>
      </c>
      <c r="O246" s="100" t="str">
        <f t="shared" si="88"/>
        <v/>
      </c>
      <c r="P246" s="119" t="str">
        <f>IF('Temperature in bundle'!$P$4="Current = 1A per pair",2,IF($A246="","",('Temperature in bundle'!$Q$6-('Temperature in bundle'!$Q$6^2-4*(O246+Q$7)*'Temperature in bundle'!$Q$7)^0.5)/2/(O246+Q$7)))</f>
        <v/>
      </c>
      <c r="Q246" s="98" t="str">
        <f t="shared" si="96"/>
        <v/>
      </c>
      <c r="R246" s="101" t="str">
        <f t="shared" si="97"/>
        <v/>
      </c>
      <c r="T246" s="100" t="str">
        <f t="shared" si="89"/>
        <v/>
      </c>
      <c r="U246" s="119" t="str">
        <f>IF('Temperature in bundle'!$P$4="Current = 1A per pair",2,IF($A246="","",('Temperature in bundle'!$Q$6-('Temperature in bundle'!$Q$6^2-4*(T246+V$7)*'Temperature in bundle'!$Q$7)^0.5)/2/(T246+V$7)))</f>
        <v/>
      </c>
      <c r="V246" s="98" t="str">
        <f t="shared" si="90"/>
        <v/>
      </c>
      <c r="W246" s="101" t="str">
        <f t="shared" si="98"/>
        <v/>
      </c>
      <c r="Y246" s="100" t="str">
        <f t="shared" si="91"/>
        <v/>
      </c>
      <c r="Z246" s="119" t="str">
        <f>IF('Temperature in bundle'!$P$4="Current = 1A per pair",2,IF($A246="","",('Temperature in bundle'!$Q$6-('Temperature in bundle'!$Q$6^2-4*(Y246+AA$7)*'Temperature in bundle'!$Q$7)^0.5)/2/(Y246+AA$7)))</f>
        <v/>
      </c>
      <c r="AA246" s="98" t="str">
        <f t="shared" si="92"/>
        <v/>
      </c>
      <c r="AB246" s="101" t="str">
        <f t="shared" si="99"/>
        <v/>
      </c>
    </row>
    <row r="247" spans="1:28">
      <c r="A247" t="str">
        <f t="shared" si="100"/>
        <v/>
      </c>
      <c r="B247" s="113">
        <v>2</v>
      </c>
      <c r="C247" s="113">
        <f>(SQRT(3)/2*8)*-1</f>
        <v>-6.9282032302755088</v>
      </c>
      <c r="D247" s="113">
        <f t="shared" si="102"/>
        <v>7.2111025509279782</v>
      </c>
      <c r="E247" s="113" t="str">
        <f t="shared" si="93"/>
        <v/>
      </c>
      <c r="F247" s="113" t="str">
        <f t="shared" si="93"/>
        <v/>
      </c>
      <c r="G247" s="113" t="str">
        <f t="shared" si="101"/>
        <v/>
      </c>
      <c r="J247" s="116" t="str">
        <f t="shared" si="94"/>
        <v/>
      </c>
      <c r="K247" s="119" t="str">
        <f t="shared" si="86"/>
        <v/>
      </c>
      <c r="L247" s="98" t="str">
        <f t="shared" si="87"/>
        <v/>
      </c>
      <c r="M247" s="101" t="str">
        <f t="shared" si="95"/>
        <v/>
      </c>
      <c r="O247" s="100" t="str">
        <f t="shared" si="88"/>
        <v/>
      </c>
      <c r="P247" s="119" t="str">
        <f>IF('Temperature in bundle'!$P$4="Current = 1A per pair",2,IF($A247="","",('Temperature in bundle'!$Q$6-('Temperature in bundle'!$Q$6^2-4*(O247+Q$7)*'Temperature in bundle'!$Q$7)^0.5)/2/(O247+Q$7)))</f>
        <v/>
      </c>
      <c r="Q247" s="98" t="str">
        <f t="shared" si="96"/>
        <v/>
      </c>
      <c r="R247" s="101" t="str">
        <f t="shared" si="97"/>
        <v/>
      </c>
      <c r="T247" s="100" t="str">
        <f t="shared" si="89"/>
        <v/>
      </c>
      <c r="U247" s="119" t="str">
        <f>IF('Temperature in bundle'!$P$4="Current = 1A per pair",2,IF($A247="","",('Temperature in bundle'!$Q$6-('Temperature in bundle'!$Q$6^2-4*(T247+V$7)*'Temperature in bundle'!$Q$7)^0.5)/2/(T247+V$7)))</f>
        <v/>
      </c>
      <c r="V247" s="98" t="str">
        <f t="shared" si="90"/>
        <v/>
      </c>
      <c r="W247" s="101" t="str">
        <f t="shared" si="98"/>
        <v/>
      </c>
      <c r="Y247" s="100" t="str">
        <f t="shared" si="91"/>
        <v/>
      </c>
      <c r="Z247" s="119" t="str">
        <f>IF('Temperature in bundle'!$P$4="Current = 1A per pair",2,IF($A247="","",('Temperature in bundle'!$Q$6-('Temperature in bundle'!$Q$6^2-4*(Y247+AA$7)*'Temperature in bundle'!$Q$7)^0.5)/2/(Y247+AA$7)))</f>
        <v/>
      </c>
      <c r="AA247" s="98" t="str">
        <f t="shared" si="92"/>
        <v/>
      </c>
      <c r="AB247" s="101" t="str">
        <f t="shared" si="99"/>
        <v/>
      </c>
    </row>
    <row r="248" spans="1:28">
      <c r="A248" t="str">
        <f t="shared" si="100"/>
        <v/>
      </c>
      <c r="B248" s="113">
        <v>5</v>
      </c>
      <c r="C248" s="113">
        <f>(SQRT(3)/2*6)*-1</f>
        <v>-5.196152422706632</v>
      </c>
      <c r="D248" s="113">
        <f t="shared" si="102"/>
        <v>7.2111025509279782</v>
      </c>
      <c r="E248" s="113" t="str">
        <f t="shared" si="93"/>
        <v/>
      </c>
      <c r="F248" s="113" t="str">
        <f t="shared" si="93"/>
        <v/>
      </c>
      <c r="G248" s="113" t="str">
        <f t="shared" si="101"/>
        <v/>
      </c>
      <c r="J248" s="116" t="str">
        <f t="shared" si="94"/>
        <v/>
      </c>
      <c r="K248" s="119" t="str">
        <f t="shared" si="86"/>
        <v/>
      </c>
      <c r="L248" s="98" t="str">
        <f t="shared" si="87"/>
        <v/>
      </c>
      <c r="M248" s="101" t="str">
        <f t="shared" si="95"/>
        <v/>
      </c>
      <c r="O248" s="100" t="str">
        <f t="shared" si="88"/>
        <v/>
      </c>
      <c r="P248" s="119" t="str">
        <f>IF('Temperature in bundle'!$P$4="Current = 1A per pair",2,IF($A248="","",('Temperature in bundle'!$Q$6-('Temperature in bundle'!$Q$6^2-4*(O248+Q$7)*'Temperature in bundle'!$Q$7)^0.5)/2/(O248+Q$7)))</f>
        <v/>
      </c>
      <c r="Q248" s="98" t="str">
        <f t="shared" si="96"/>
        <v/>
      </c>
      <c r="R248" s="101" t="str">
        <f t="shared" si="97"/>
        <v/>
      </c>
      <c r="T248" s="100" t="str">
        <f t="shared" si="89"/>
        <v/>
      </c>
      <c r="U248" s="119" t="str">
        <f>IF('Temperature in bundle'!$P$4="Current = 1A per pair",2,IF($A248="","",('Temperature in bundle'!$Q$6-('Temperature in bundle'!$Q$6^2-4*(T248+V$7)*'Temperature in bundle'!$Q$7)^0.5)/2/(T248+V$7)))</f>
        <v/>
      </c>
      <c r="V248" s="98" t="str">
        <f t="shared" si="90"/>
        <v/>
      </c>
      <c r="W248" s="101" t="str">
        <f t="shared" si="98"/>
        <v/>
      </c>
      <c r="Y248" s="100" t="str">
        <f t="shared" si="91"/>
        <v/>
      </c>
      <c r="Z248" s="119" t="str">
        <f>IF('Temperature in bundle'!$P$4="Current = 1A per pair",2,IF($A248="","",('Temperature in bundle'!$Q$6-('Temperature in bundle'!$Q$6^2-4*(Y248+AA$7)*'Temperature in bundle'!$Q$7)^0.5)/2/(Y248+AA$7)))</f>
        <v/>
      </c>
      <c r="AA248" s="98" t="str">
        <f t="shared" si="92"/>
        <v/>
      </c>
      <c r="AB248" s="101" t="str">
        <f t="shared" si="99"/>
        <v/>
      </c>
    </row>
    <row r="249" spans="1:28">
      <c r="A249" t="str">
        <f t="shared" si="100"/>
        <v/>
      </c>
      <c r="B249" s="113">
        <v>7</v>
      </c>
      <c r="C249" s="113">
        <f>(SQRT(3)/2*2)*-1</f>
        <v>-1.7320508075688772</v>
      </c>
      <c r="D249" s="113">
        <f t="shared" si="102"/>
        <v>7.2111025509279782</v>
      </c>
      <c r="E249" s="113" t="str">
        <f t="shared" si="93"/>
        <v/>
      </c>
      <c r="F249" s="113" t="str">
        <f t="shared" si="93"/>
        <v/>
      </c>
      <c r="G249" s="113" t="str">
        <f t="shared" si="101"/>
        <v/>
      </c>
      <c r="J249" s="116" t="str">
        <f t="shared" si="94"/>
        <v/>
      </c>
      <c r="K249" s="119" t="str">
        <f t="shared" si="86"/>
        <v/>
      </c>
      <c r="L249" s="98" t="str">
        <f t="shared" si="87"/>
        <v/>
      </c>
      <c r="M249" s="101" t="str">
        <f t="shared" si="95"/>
        <v/>
      </c>
      <c r="O249" s="100" t="str">
        <f t="shared" si="88"/>
        <v/>
      </c>
      <c r="P249" s="119" t="str">
        <f>IF('Temperature in bundle'!$P$4="Current = 1A per pair",2,IF($A249="","",('Temperature in bundle'!$Q$6-('Temperature in bundle'!$Q$6^2-4*(O249+Q$7)*'Temperature in bundle'!$Q$7)^0.5)/2/(O249+Q$7)))</f>
        <v/>
      </c>
      <c r="Q249" s="98" t="str">
        <f t="shared" si="96"/>
        <v/>
      </c>
      <c r="R249" s="101" t="str">
        <f t="shared" si="97"/>
        <v/>
      </c>
      <c r="T249" s="100" t="str">
        <f t="shared" si="89"/>
        <v/>
      </c>
      <c r="U249" s="119" t="str">
        <f>IF('Temperature in bundle'!$P$4="Current = 1A per pair",2,IF($A249="","",('Temperature in bundle'!$Q$6-('Temperature in bundle'!$Q$6^2-4*(T249+V$7)*'Temperature in bundle'!$Q$7)^0.5)/2/(T249+V$7)))</f>
        <v/>
      </c>
      <c r="V249" s="98" t="str">
        <f t="shared" si="90"/>
        <v/>
      </c>
      <c r="W249" s="101" t="str">
        <f t="shared" si="98"/>
        <v/>
      </c>
      <c r="Y249" s="100" t="str">
        <f t="shared" si="91"/>
        <v/>
      </c>
      <c r="Z249" s="119" t="str">
        <f>IF('Temperature in bundle'!$P$4="Current = 1A per pair",2,IF($A249="","",('Temperature in bundle'!$Q$6-('Temperature in bundle'!$Q$6^2-4*(Y249+AA$7)*'Temperature in bundle'!$Q$7)^0.5)/2/(Y249+AA$7)))</f>
        <v/>
      </c>
      <c r="AA249" s="98" t="str">
        <f t="shared" si="92"/>
        <v/>
      </c>
      <c r="AB249" s="101" t="str">
        <f t="shared" si="99"/>
        <v/>
      </c>
    </row>
  </sheetData>
  <mergeCells count="56">
    <mergeCell ref="A7:B7"/>
    <mergeCell ref="A2:B2"/>
    <mergeCell ref="A3:B3"/>
    <mergeCell ref="A4:B4"/>
    <mergeCell ref="A5:B5"/>
    <mergeCell ref="A6:B6"/>
    <mergeCell ref="A14:B14"/>
    <mergeCell ref="A15:B15"/>
    <mergeCell ref="C1:D1"/>
    <mergeCell ref="C2:D2"/>
    <mergeCell ref="C3:D3"/>
    <mergeCell ref="C4:D4"/>
    <mergeCell ref="C5:D5"/>
    <mergeCell ref="C6:D6"/>
    <mergeCell ref="C7:D7"/>
    <mergeCell ref="C8:D8"/>
    <mergeCell ref="A8:B8"/>
    <mergeCell ref="A9:B9"/>
    <mergeCell ref="A10:B10"/>
    <mergeCell ref="A11:B11"/>
    <mergeCell ref="A12:B12"/>
    <mergeCell ref="A13:B13"/>
    <mergeCell ref="E6:F6"/>
    <mergeCell ref="E7:F7"/>
    <mergeCell ref="E8:F8"/>
    <mergeCell ref="E9:F9"/>
    <mergeCell ref="C9:D9"/>
    <mergeCell ref="E1:F1"/>
    <mergeCell ref="E2:F2"/>
    <mergeCell ref="E3:F3"/>
    <mergeCell ref="E4:F4"/>
    <mergeCell ref="E5:F5"/>
    <mergeCell ref="E10:F10"/>
    <mergeCell ref="E13:F13"/>
    <mergeCell ref="E14:F14"/>
    <mergeCell ref="E15:F15"/>
    <mergeCell ref="C15:D15"/>
    <mergeCell ref="C10:D10"/>
    <mergeCell ref="C13:D13"/>
    <mergeCell ref="C14:D14"/>
    <mergeCell ref="G1:H1"/>
    <mergeCell ref="A1:B1"/>
    <mergeCell ref="G14:H14"/>
    <mergeCell ref="G15:H15"/>
    <mergeCell ref="C11:H11"/>
    <mergeCell ref="C12:H12"/>
    <mergeCell ref="G8:H8"/>
    <mergeCell ref="G9:H9"/>
    <mergeCell ref="G10:H10"/>
    <mergeCell ref="G13:H13"/>
    <mergeCell ref="G2:H2"/>
    <mergeCell ref="G3:H3"/>
    <mergeCell ref="G4:H4"/>
    <mergeCell ref="G5:H5"/>
    <mergeCell ref="G6:H6"/>
    <mergeCell ref="G7:H7"/>
  </mergeCells>
  <pageMargins left="0.7" right="0.7" top="0.75" bottom="0.75" header="0.3" footer="0.3"/>
  <pageSetup paperSize="9" orientation="portrait" horizontalDpi="90" verticalDpi="9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18D7-A4CA-412C-AEEE-2BABA36C4C8B}">
  <sheetPr>
    <tabColor rgb="FFFF0000"/>
  </sheetPr>
  <dimension ref="A1:AE249"/>
  <sheetViews>
    <sheetView workbookViewId="0">
      <selection sqref="A1:B1"/>
    </sheetView>
  </sheetViews>
  <sheetFormatPr defaultColWidth="11.42578125" defaultRowHeight="15"/>
  <cols>
    <col min="1" max="1" width="12.7109375" customWidth="1"/>
    <col min="2" max="7" width="10.7109375" customWidth="1"/>
    <col min="10" max="13" width="15.7109375" customWidth="1"/>
    <col min="15" max="18" width="15.7109375" customWidth="1"/>
    <col min="20" max="23" width="15.7109375" customWidth="1"/>
    <col min="25" max="28" width="15.7109375" customWidth="1"/>
  </cols>
  <sheetData>
    <row r="1" spans="1:31">
      <c r="A1" s="197"/>
      <c r="B1" s="197"/>
      <c r="C1" s="196" t="s">
        <v>291</v>
      </c>
      <c r="D1" s="196"/>
      <c r="E1" s="196" t="s">
        <v>292</v>
      </c>
      <c r="F1" s="196"/>
      <c r="G1" s="196" t="s">
        <v>293</v>
      </c>
      <c r="H1" s="196"/>
      <c r="K1" t="s">
        <v>291</v>
      </c>
      <c r="L1" t="s">
        <v>292</v>
      </c>
      <c r="M1" t="s">
        <v>293</v>
      </c>
      <c r="P1" t="s">
        <v>291</v>
      </c>
      <c r="Q1" t="s">
        <v>292</v>
      </c>
      <c r="R1" t="s">
        <v>293</v>
      </c>
      <c r="U1" t="s">
        <v>291</v>
      </c>
      <c r="V1" t="s">
        <v>292</v>
      </c>
      <c r="W1" t="s">
        <v>293</v>
      </c>
      <c r="Z1" t="s">
        <v>291</v>
      </c>
      <c r="AA1" t="s">
        <v>292</v>
      </c>
      <c r="AB1" t="s">
        <v>293</v>
      </c>
    </row>
    <row r="2" spans="1:31">
      <c r="A2" s="197" t="s">
        <v>294</v>
      </c>
      <c r="B2" s="197"/>
      <c r="C2" s="196" t="str">
        <f>IF('Temperature in bundle'!C8="","",'Temperature in bundle'!C5&amp;"_"&amp;'Temperature in bundle'!C6)</f>
        <v>AWG28/7_Cat.6A STP</v>
      </c>
      <c r="D2" s="196"/>
      <c r="E2" s="196" t="str">
        <f>'Temperature in bundle'!C21</f>
        <v>VDICD116118GHD</v>
      </c>
      <c r="F2" s="196"/>
      <c r="G2" s="196" t="str">
        <f>IF('Temperature in bundle'!C32="","",'Temperature in bundle'!C29&amp;"_"&amp;'Temperature in bundle'!C30)</f>
        <v>AWG28/7_Cat.6A STP</v>
      </c>
      <c r="H2" s="196"/>
      <c r="J2" t="s">
        <v>257</v>
      </c>
      <c r="K2" s="117">
        <f>SUM(L21:L44)</f>
        <v>0.70794959632374377</v>
      </c>
      <c r="L2" s="117">
        <f>SUM(L51:L249)</f>
        <v>26.669407488697221</v>
      </c>
      <c r="M2" s="117">
        <f>L47</f>
        <v>5.8995799693645302E-2</v>
      </c>
      <c r="O2" t="s">
        <v>257</v>
      </c>
      <c r="P2" s="117">
        <f>SUM(Q21:Q44)</f>
        <v>0.70959562822090616</v>
      </c>
      <c r="Q2" s="117">
        <f>SUM(Q51:Q249)</f>
        <v>26.704211029246608</v>
      </c>
      <c r="R2" s="117">
        <f>Q47</f>
        <v>5.9037164802391982E-2</v>
      </c>
      <c r="T2" t="s">
        <v>257</v>
      </c>
      <c r="U2" s="117">
        <f>SUM(V21:V44)</f>
        <v>0.70959941119165681</v>
      </c>
      <c r="V2" s="117">
        <f>SUM(V51:V249)</f>
        <v>26.704256700217883</v>
      </c>
      <c r="W2" s="117">
        <f>V47</f>
        <v>5.9037196873210226E-2</v>
      </c>
      <c r="Y2" t="s">
        <v>257</v>
      </c>
      <c r="Z2" s="117">
        <f>SUM(AA21:AA44)</f>
        <v>0.70959941983189445</v>
      </c>
      <c r="AA2" s="117">
        <f>SUM(AA51:AA249)</f>
        <v>26.704256760789765</v>
      </c>
      <c r="AB2" s="117">
        <f>AA47</f>
        <v>5.9037196902704203E-2</v>
      </c>
    </row>
    <row r="3" spans="1:31">
      <c r="A3" s="197" t="s">
        <v>145</v>
      </c>
      <c r="B3" s="197"/>
      <c r="C3" s="203">
        <f>'Temperature in bundle'!C7</f>
        <v>2</v>
      </c>
      <c r="D3" s="203"/>
      <c r="E3" s="203">
        <f>'Temperature in bundle'!C23</f>
        <v>50</v>
      </c>
      <c r="F3" s="203"/>
      <c r="G3" s="203">
        <f>'Temperature in bundle'!C31</f>
        <v>2</v>
      </c>
      <c r="H3" s="203"/>
      <c r="J3" t="s">
        <v>258</v>
      </c>
      <c r="K3" s="118">
        <f>$C6*K2/$C3/$C5/$C15^0.5/5.182*1000</f>
        <v>0.5377901959714575</v>
      </c>
      <c r="L3" s="118">
        <f>$E6*L2/$E3/$E5/$E15^0.5/5.182*1000*$E16</f>
        <v>0.25073585343310251</v>
      </c>
      <c r="M3" s="118">
        <f>$G6*M2/$G3/$G5/$G15^0.5/5.182*1000</f>
        <v>0.15524665720583128</v>
      </c>
      <c r="O3" t="s">
        <v>258</v>
      </c>
      <c r="P3" s="118">
        <f>$C6*P2/$C3/$C5/$C15^0.5/5.182*1000</f>
        <v>0.5390405954647931</v>
      </c>
      <c r="Q3" s="118">
        <f>$E6*Q2/$E3/$E5/$E15^0.5/5.182*1000*$E16</f>
        <v>0.2510630633812741</v>
      </c>
      <c r="R3" s="118">
        <f>$G6*R2/$G3/$G5/$G15^0.5/5.182*1000</f>
        <v>0.15535550893580569</v>
      </c>
      <c r="T3" t="s">
        <v>258</v>
      </c>
      <c r="U3" s="118">
        <f>$C6*U2/$C3/$C5/$C15^0.5/5.182*1000</f>
        <v>0.53904346917867318</v>
      </c>
      <c r="V3" s="118">
        <f>$E6*V2/$E3/$E5/$E15^0.5/5.182*1000*$E16</f>
        <v>0.25106349276276541</v>
      </c>
      <c r="W3" s="118">
        <f>$G6*W2/$G3/$G5/$G15^0.5/5.182*1000</f>
        <v>0.15535559332973464</v>
      </c>
      <c r="Y3" t="s">
        <v>258</v>
      </c>
      <c r="Z3" s="118">
        <f>$C6*Z2/$C3/$C5/$C15^0.5/5.182*1000</f>
        <v>0.53904347574218436</v>
      </c>
      <c r="AA3" s="118">
        <f>$E6*AA2/$E3/$E5/$E15^0.5/5.182*1000*$E16</f>
        <v>0.25106349333223976</v>
      </c>
      <c r="AB3" s="118">
        <f>$G6*AB2/$G3/$G5/$G15^0.5/5.182*1000</f>
        <v>0.15535559340734761</v>
      </c>
    </row>
    <row r="4" spans="1:31">
      <c r="A4" s="197" t="s">
        <v>295</v>
      </c>
      <c r="B4" s="197"/>
      <c r="C4" s="196">
        <f>IF(C$2="","",VLOOKUP(C$2,'Cable list'!$C:$R,16,FALSE))</f>
        <v>2.75</v>
      </c>
      <c r="D4" s="196"/>
      <c r="E4" s="196">
        <f>IF(E$2="","",VLOOKUP(E$2,'Cable list'!$C:$R,16,FALSE))</f>
        <v>5</v>
      </c>
      <c r="F4" s="196"/>
      <c r="G4" s="196">
        <f>IF(G$2="","",VLOOKUP(G$2,'Cable list'!$C:$R,16,FALSE))</f>
        <v>2.75</v>
      </c>
      <c r="H4" s="196"/>
      <c r="J4" t="s">
        <v>259</v>
      </c>
      <c r="K4" s="118">
        <f>$C4*K2/$C3/12.6</f>
        <v>7.7256404360726005E-2</v>
      </c>
      <c r="L4" s="118">
        <f>$E4*L2/$E3/12.6*$E16</f>
        <v>0.13098011168103507</v>
      </c>
      <c r="M4" s="118">
        <f>$G4*M2/$G3/12.6</f>
        <v>6.4380336967271665E-3</v>
      </c>
      <c r="O4" t="s">
        <v>259</v>
      </c>
      <c r="P4" s="118">
        <f>$C4*P2/$C3/12.6</f>
        <v>7.743603085744015E-2</v>
      </c>
      <c r="Q4" s="118">
        <f>$E4*Q2/$E3/12.6*$E16</f>
        <v>0.13115104054887686</v>
      </c>
      <c r="R4" s="118">
        <f>$G4*R2/$G3/12.6</f>
        <v>6.4425477462927757E-3</v>
      </c>
      <c r="T4" t="s">
        <v>259</v>
      </c>
      <c r="U4" s="118">
        <f>$C4*U2/$C3/12.6</f>
        <v>7.7436443681629219E-2</v>
      </c>
      <c r="V4" s="118">
        <f>$E4*V2/$E3/12.6*$E16</f>
        <v>0.1311512648504074</v>
      </c>
      <c r="W4" s="118">
        <f>$G4*W2/$G3/12.6</f>
        <v>6.4425512460844492E-3</v>
      </c>
      <c r="Y4" t="s">
        <v>259</v>
      </c>
      <c r="Z4" s="118">
        <f>$C4*Z2/$C3/12.6</f>
        <v>7.7436444624512296E-2</v>
      </c>
      <c r="AA4" s="118">
        <f>$E4*AA2/$E3/12.6*$E16</f>
        <v>0.13115126514789099</v>
      </c>
      <c r="AB4" s="118">
        <f>$G4*AB2/$G3/12.6</f>
        <v>6.4425512493030386E-3</v>
      </c>
    </row>
    <row r="5" spans="1:31">
      <c r="A5" s="197" t="s">
        <v>183</v>
      </c>
      <c r="B5" s="197"/>
      <c r="C5" s="204">
        <f>IF(C$2="","",VLOOKUP(C$2,'Cable list'!$C:$R,8,FALSE))</f>
        <v>5.5</v>
      </c>
      <c r="D5" s="204"/>
      <c r="E5" s="204">
        <f>IF(E$2="","",VLOOKUP(E$2,'Cable list'!$C:$R,8,FALSE))</f>
        <v>5.5</v>
      </c>
      <c r="F5" s="204"/>
      <c r="G5" s="204">
        <f>IF(G$2="","",VLOOKUP(G$2,'Cable list'!$C:$R,8,FALSE))</f>
        <v>5.5</v>
      </c>
      <c r="H5" s="204"/>
    </row>
    <row r="6" spans="1:31">
      <c r="A6" s="197" t="s">
        <v>296</v>
      </c>
      <c r="B6" s="197"/>
      <c r="C6" s="196">
        <v>0.15</v>
      </c>
      <c r="D6" s="196"/>
      <c r="E6" s="196">
        <f>IF('Temperature in bundle'!I2="","",VLOOKUP('Temperature in bundle'!I2,'Constant list'!C2:D5,2,FALSE))</f>
        <v>0.15</v>
      </c>
      <c r="F6" s="196"/>
      <c r="G6" s="196">
        <v>0.15</v>
      </c>
      <c r="H6" s="196"/>
      <c r="O6" t="s">
        <v>305</v>
      </c>
      <c r="P6" s="120">
        <f>AVERAGE(O21:O44)</f>
        <v>0.22334481216186652</v>
      </c>
      <c r="Q6" s="120">
        <f>AVERAGE(O51:O249)</f>
        <v>2.1012837287584243</v>
      </c>
      <c r="R6" s="120">
        <f>O47</f>
        <v>0.22298296031139717</v>
      </c>
      <c r="T6" t="s">
        <v>305</v>
      </c>
      <c r="U6" s="120">
        <f>AVERAGE(T21:T44)</f>
        <v>0.22334598020619287</v>
      </c>
      <c r="V6" s="120">
        <f>AVERAGE(T51:T249)</f>
        <v>2.1012871094458734</v>
      </c>
      <c r="W6" s="120">
        <f>T47</f>
        <v>0.22298305883595529</v>
      </c>
      <c r="Y6" t="s">
        <v>305</v>
      </c>
      <c r="Z6" s="120">
        <f>AVERAGE(Y21:Y44)</f>
        <v>0.22334598289063504</v>
      </c>
      <c r="AA6" s="120">
        <f>AVERAGE(Y51:Y249)</f>
        <v>2.1012871138821851</v>
      </c>
      <c r="AB6" s="120">
        <f>Y47</f>
        <v>0.22298305891234241</v>
      </c>
    </row>
    <row r="7" spans="1:31">
      <c r="A7" s="197" t="s">
        <v>226</v>
      </c>
      <c r="B7" s="197"/>
      <c r="C7" s="202">
        <f>IF(C2="","",VLOOKUP(C2,'Cable list'!$C:$R,12,FALSE)*C3/1000)</f>
        <v>0.44568488497361342</v>
      </c>
      <c r="D7" s="202"/>
      <c r="E7" s="202">
        <f>IF(E2="","",VLOOKUP(E2,'Cable list'!$C:$R,12,FALSE)*E3/1000)</f>
        <v>3.8244977876399981</v>
      </c>
      <c r="F7" s="202"/>
      <c r="G7" s="202">
        <f>IF(G2="","",VLOOKUP(G2,'Cable list'!$C:$R,12,FALSE)*G3/1000)</f>
        <v>0.44568488497361342</v>
      </c>
      <c r="H7" s="202"/>
      <c r="O7" t="s">
        <v>306</v>
      </c>
      <c r="P7" s="120">
        <f>$C11+Q6+R6</f>
        <v>2.5242666890698215</v>
      </c>
      <c r="Q7" s="120">
        <f>$C11+R6+P6</f>
        <v>0.64632777247326367</v>
      </c>
      <c r="R7" s="120">
        <f>$C11+P6+Q6</f>
        <v>2.5246285409202907</v>
      </c>
      <c r="T7" t="s">
        <v>306</v>
      </c>
      <c r="U7" s="120">
        <f>$C11+V6+W6</f>
        <v>2.5242701682818289</v>
      </c>
      <c r="V7" s="120">
        <f>$C11+W6+U6</f>
        <v>0.64632903904214822</v>
      </c>
      <c r="W7" s="120">
        <f>$C11+U6+V6</f>
        <v>2.5246330896520663</v>
      </c>
      <c r="Y7" t="s">
        <v>306</v>
      </c>
      <c r="Z7" s="120">
        <f>$C11+AA6+AB6</f>
        <v>2.5242701727945276</v>
      </c>
      <c r="AA7" s="120">
        <f>$C11+AB6+Z6</f>
        <v>0.64632904180297746</v>
      </c>
      <c r="AB7" s="120">
        <f>$C11+Z6+AA6</f>
        <v>2.5246330967728201</v>
      </c>
    </row>
    <row r="8" spans="1:31">
      <c r="A8" s="197" t="s">
        <v>237</v>
      </c>
      <c r="B8" s="197"/>
      <c r="C8" s="201">
        <f>'Temperature in bundle'!C12</f>
        <v>20</v>
      </c>
      <c r="D8" s="201"/>
      <c r="E8" s="201">
        <f>'Temperature in bundle'!C25</f>
        <v>45</v>
      </c>
      <c r="F8" s="201"/>
      <c r="G8" s="201">
        <f>'Temperature in bundle'!C35</f>
        <v>20</v>
      </c>
      <c r="H8" s="201"/>
      <c r="AD8" s="144" t="s">
        <v>308</v>
      </c>
      <c r="AE8" s="144" t="s">
        <v>308</v>
      </c>
    </row>
    <row r="9" spans="1:31">
      <c r="A9" s="197" t="s">
        <v>227</v>
      </c>
      <c r="B9" s="197"/>
      <c r="C9" s="202">
        <f>IF(C7="","",C7*(1+0.0039*(C8-20)))</f>
        <v>0.44568488497361342</v>
      </c>
      <c r="D9" s="202"/>
      <c r="E9" s="202">
        <f t="shared" ref="E9:G9" si="0">IF(E7="","",E7*(1+0.0039*(E8-20)))</f>
        <v>4.1973863219348972</v>
      </c>
      <c r="F9" s="202"/>
      <c r="G9" s="202">
        <f t="shared" si="0"/>
        <v>0.44568488497361342</v>
      </c>
      <c r="H9" s="202"/>
      <c r="K9" s="24"/>
      <c r="Y9" t="s">
        <v>307</v>
      </c>
      <c r="Z9" s="118">
        <f>ROUND(MAX(AB21:AB44),1)</f>
        <v>0.6</v>
      </c>
      <c r="AA9" s="118">
        <f>ROUND(MAX(AB51:AB249),1)</f>
        <v>0.4</v>
      </c>
      <c r="AB9" s="118">
        <f>ROUND(AB47,1)</f>
        <v>0.2</v>
      </c>
      <c r="AD9" s="144">
        <f>IF(ISERROR(Z10),1,IF(Z10&lt;=50,1,IF(Z10&gt;60,3,2)))</f>
        <v>1</v>
      </c>
      <c r="AE9" s="144">
        <f>IF(ISERROR(AA10),1,IF(AA10&lt;=50,1,IF(AA10&gt;60,3,2)))</f>
        <v>1</v>
      </c>
    </row>
    <row r="10" spans="1:31">
      <c r="A10" s="197" t="s">
        <v>228</v>
      </c>
      <c r="B10" s="197"/>
      <c r="C10" s="202">
        <f>IF(C9="","",C9*4/'Temperature in bundle'!$Q$8)</f>
        <v>0.22284244248680671</v>
      </c>
      <c r="D10" s="202"/>
      <c r="E10" s="202">
        <f>IF(E9="","",E9*4/'Temperature in bundle'!$Q$8)</f>
        <v>2.0986931609674486</v>
      </c>
      <c r="F10" s="202"/>
      <c r="G10" s="202">
        <f>IF(G9="","",G9*4/'Temperature in bundle'!$Q$8)</f>
        <v>0.22284244248680671</v>
      </c>
      <c r="H10" s="202"/>
      <c r="K10" s="24"/>
      <c r="Y10" t="s">
        <v>308</v>
      </c>
      <c r="Z10" s="112">
        <f>ROUND(Z9+C8,0)</f>
        <v>21</v>
      </c>
      <c r="AA10" s="112">
        <f>ROUND(AA9+E8,0)</f>
        <v>45</v>
      </c>
      <c r="AB10" s="112">
        <f>ROUND(AB9+G8,0)</f>
        <v>20</v>
      </c>
      <c r="AD10" s="144" t="s">
        <v>307</v>
      </c>
      <c r="AE10" s="144" t="s">
        <v>307</v>
      </c>
    </row>
    <row r="11" spans="1:31">
      <c r="A11" s="197" t="s">
        <v>231</v>
      </c>
      <c r="B11" s="197"/>
      <c r="C11" s="199">
        <v>0.2</v>
      </c>
      <c r="D11" s="199"/>
      <c r="E11" s="199"/>
      <c r="F11" s="199"/>
      <c r="G11" s="199"/>
      <c r="H11" s="199"/>
      <c r="Y11" t="s">
        <v>310</v>
      </c>
      <c r="Z11" s="22" t="str">
        <f>Z10&amp;"°C (+"&amp;Z9&amp;"°C)"</f>
        <v>21°C (+0,6°C)</v>
      </c>
      <c r="AA11" s="22" t="str">
        <f>AA10&amp;"°C (+"&amp;AA9&amp;"°C)"</f>
        <v>45°C (+0,4°C)</v>
      </c>
      <c r="AB11" s="22" t="str">
        <f>AB10&amp;"°C (+"&amp;AB9&amp;"°C)"</f>
        <v>20°C (+0,2°C)</v>
      </c>
      <c r="AD11" s="144">
        <f>IF(ISERROR(Z9),1,IF(Z9&lt;=10,1,IF(Z9&gt;15,3,2)))</f>
        <v>1</v>
      </c>
      <c r="AE11" s="144">
        <f>IF(ISERROR(AA9),1,IF(AA9&lt;=10,1,IF(AA9&gt;15,3,2)))</f>
        <v>1</v>
      </c>
    </row>
    <row r="12" spans="1:31">
      <c r="A12" s="197" t="s">
        <v>232</v>
      </c>
      <c r="B12" s="197"/>
      <c r="C12" s="200">
        <f>IF('Temperature in bundle'!$P$4="Current = 1A per pair",2,IF(OR(C10="",E10="",G10="",'Temperature in bundle'!Q7="",'Temperature in bundle'!Q6="",'Temperature in bundle'!Q8=""),"",('Temperature in bundle'!Q6-('Temperature in bundle'!Q6^2-4*SUM(C10:G11)*'Temperature in bundle'!Q7)^0.5)/2/SUM(C10:G11)))</f>
        <v>0.51453105392986931</v>
      </c>
      <c r="D12" s="200"/>
      <c r="E12" s="200"/>
      <c r="F12" s="200"/>
      <c r="G12" s="200"/>
      <c r="H12" s="200"/>
      <c r="AD12" s="144">
        <f>AD9*10+AD11</f>
        <v>11</v>
      </c>
      <c r="AE12" s="144">
        <f>AE9*10+AE11</f>
        <v>11</v>
      </c>
    </row>
    <row r="13" spans="1:31">
      <c r="A13" s="197" t="s">
        <v>12</v>
      </c>
      <c r="B13" s="197"/>
      <c r="C13" s="198">
        <f>IF(C$2="","",VLOOKUP(C$2,'Cable list'!$C:$R,13,FALSE))</f>
        <v>0.2</v>
      </c>
      <c r="D13" s="198"/>
      <c r="E13" s="198">
        <f>IF(E$2="","",VLOOKUP(E$2,'Cable list'!$C:$R,13,FALSE))</f>
        <v>0.4</v>
      </c>
      <c r="F13" s="198"/>
      <c r="G13" s="198">
        <f>IF(G$2="","",VLOOKUP(G$2,'Cable list'!$C:$R,13,FALSE))</f>
        <v>0.2</v>
      </c>
      <c r="H13" s="198"/>
      <c r="Y13" t="s">
        <v>311</v>
      </c>
      <c r="Z13">
        <f>IF(C2="","",IF(LEFT(C2,5)="AWG28",1.95,IF(LEFT(C2,5)="AWG26",1.5,"?")))</f>
        <v>1.95</v>
      </c>
      <c r="AA13">
        <f>IF(E2="","",1)</f>
        <v>1</v>
      </c>
      <c r="AB13">
        <f>IF(G2="","",IF(LEFT(G2,5)="AWG28",1.95,IF(LEFT(G2,5)="AWG26",1.5,"?")))</f>
        <v>1.95</v>
      </c>
    </row>
    <row r="14" spans="1:31">
      <c r="A14" s="197" t="s">
        <v>13</v>
      </c>
      <c r="B14" s="197"/>
      <c r="C14" s="198">
        <f>IF(C$2="","",VLOOKUP(C$2,'Cable list'!$C:$R,14,FALSE))</f>
        <v>0.2</v>
      </c>
      <c r="D14" s="198"/>
      <c r="E14" s="198">
        <f>IF(E$2="","",VLOOKUP(E$2,'Cable list'!$C:$R,14,FALSE))</f>
        <v>0.6</v>
      </c>
      <c r="F14" s="198"/>
      <c r="G14" s="198">
        <f>IF(G$2="","",VLOOKUP(G$2,'Cable list'!$C:$R,14,FALSE))</f>
        <v>0.2</v>
      </c>
      <c r="H14" s="198"/>
      <c r="Y14" t="s">
        <v>312</v>
      </c>
      <c r="Z14" s="121">
        <f>Z13*C3/(1-IF((MAX(AB21:AB44)+C8)&lt;40,((MAX(AB21:AB44)+C8)-20)*C13/100,((MAX(AB21:AB44)+C8)-40)*C14/100+20*C13/100))</f>
        <v>3.9047534261675687</v>
      </c>
      <c r="AA14" s="121">
        <f>AA13*E3/(1-IF((MAX(AB51:AB249)+E8)&lt;40,((MAX(AB51:AB249)+E8)-20)*E13/100,((MAX(AB51:AB249)+E8)-40)*E14/100+20*E13/100))</f>
        <v>56.323650687540649</v>
      </c>
      <c r="AB14" s="121">
        <f>AB13*G3/(1-IF((AB47+G8)&lt;40,((AB47+G8)-20)*G13/100,((AB47+G8)-40)*G14/100+20*G13/100))</f>
        <v>3.901262434047295</v>
      </c>
    </row>
    <row r="15" spans="1:31">
      <c r="A15" s="197" t="s">
        <v>271</v>
      </c>
      <c r="B15" s="197"/>
      <c r="C15" s="196">
        <f>IF(OR('Temperature in bundle'!C11="",'Temperature in bundle'!C11&lt;1,'Temperature in bundle'!C11&gt;24),"",'Temperature in bundle'!C11)</f>
        <v>12</v>
      </c>
      <c r="D15" s="196"/>
      <c r="E15" s="196">
        <f>IF(OR('Temperature in bundle'!C24="",'Temperature in bundle'!C24&lt;1,'Temperature in bundle'!C24&gt;199),"",'Temperature in bundle'!C24)</f>
        <v>48</v>
      </c>
      <c r="F15" s="196"/>
      <c r="G15" s="196">
        <v>1</v>
      </c>
      <c r="H15" s="196"/>
      <c r="Y15" t="s">
        <v>313</v>
      </c>
      <c r="Z15" s="121">
        <f>Z14+AA14+AB14</f>
        <v>64.129666547755505</v>
      </c>
    </row>
    <row r="16" spans="1:31">
      <c r="A16" s="205" t="s">
        <v>201</v>
      </c>
      <c r="B16" s="205"/>
      <c r="E16" s="206">
        <f>'Bundle in pathway'!H25</f>
        <v>0.61881742512670279</v>
      </c>
      <c r="F16" s="206"/>
      <c r="Y16" t="s">
        <v>314</v>
      </c>
      <c r="Z16" s="122">
        <f>Z15/104</f>
        <v>0.61663140911303371</v>
      </c>
      <c r="AA16" t="s">
        <v>315</v>
      </c>
      <c r="AB16" s="122">
        <f>AA14/90</f>
        <v>0.62581834097267386</v>
      </c>
    </row>
    <row r="18" spans="1:28">
      <c r="Y18" t="s">
        <v>316</v>
      </c>
      <c r="Z18" s="123">
        <f>Z2/C15</f>
        <v>5.9133284985991207E-2</v>
      </c>
      <c r="AA18" s="123">
        <f>AA2/E15</f>
        <v>0.55633868251645346</v>
      </c>
      <c r="AB18" s="123">
        <f>AB2</f>
        <v>5.9037196902704203E-2</v>
      </c>
    </row>
    <row r="20" spans="1:28">
      <c r="A20" t="s">
        <v>301</v>
      </c>
      <c r="B20" s="67" t="s">
        <v>261</v>
      </c>
      <c r="C20" s="67" t="s">
        <v>262</v>
      </c>
      <c r="D20" s="67" t="s">
        <v>263</v>
      </c>
      <c r="E20" s="99">
        <f>AVERAGE(E21:E44)</f>
        <v>0.5</v>
      </c>
      <c r="F20" s="99">
        <f>AVERAGE(F21:F44)</f>
        <v>0.28867513459481287</v>
      </c>
      <c r="G20" s="99"/>
      <c r="J20" s="115" t="s">
        <v>228</v>
      </c>
      <c r="K20" s="115" t="s">
        <v>232</v>
      </c>
      <c r="L20" s="11" t="s">
        <v>264</v>
      </c>
      <c r="M20" t="s">
        <v>265</v>
      </c>
      <c r="O20" s="115" t="s">
        <v>302</v>
      </c>
      <c r="P20" s="115" t="s">
        <v>303</v>
      </c>
      <c r="Q20" s="11" t="s">
        <v>304</v>
      </c>
      <c r="R20" t="s">
        <v>265</v>
      </c>
      <c r="T20" s="115" t="s">
        <v>302</v>
      </c>
      <c r="U20" s="115" t="s">
        <v>303</v>
      </c>
      <c r="V20" s="11" t="s">
        <v>304</v>
      </c>
      <c r="W20" t="s">
        <v>265</v>
      </c>
      <c r="Y20" s="115" t="s">
        <v>302</v>
      </c>
      <c r="Z20" s="115" t="s">
        <v>303</v>
      </c>
      <c r="AA20" s="11" t="s">
        <v>304</v>
      </c>
      <c r="AB20" t="s">
        <v>265</v>
      </c>
    </row>
    <row r="21" spans="1:28">
      <c r="A21">
        <v>1</v>
      </c>
      <c r="B21" s="97">
        <v>0</v>
      </c>
      <c r="C21" s="97">
        <v>0</v>
      </c>
      <c r="D21" s="97">
        <f t="shared" ref="D21:D44" si="1">(B21^2+C21^2)^0.5</f>
        <v>0</v>
      </c>
      <c r="E21" s="97">
        <f t="shared" ref="E21:E44" si="2">IF($A21="","",B21)</f>
        <v>0</v>
      </c>
      <c r="F21" s="97">
        <f t="shared" ref="F21:F44" si="3">IF($A21="","",C21)</f>
        <v>0</v>
      </c>
      <c r="G21" s="97">
        <f>IF(A21="","",((E$20-E21)^2+(F$20-F21)^2)^0.5)</f>
        <v>0.57735026918962573</v>
      </c>
      <c r="J21" s="116">
        <f>IF($A21="","",$C$10)</f>
        <v>0.22284244248680671</v>
      </c>
      <c r="K21" s="119">
        <f>IF($A21="","",$C$12)</f>
        <v>0.51453105392986931</v>
      </c>
      <c r="L21" s="98">
        <f>IF($A21="","",J21*K21^2)</f>
        <v>5.8995799693645302E-2</v>
      </c>
      <c r="M21" s="101">
        <f>IF($A21="","",K$3+K$4*(1-3.63*$G21^2/$C$15))</f>
        <v>0.60725657955914358</v>
      </c>
      <c r="O21" s="100">
        <f>IF($A21="","",$J21*(1+0.0039*M21))</f>
        <v>0.22337020039048675</v>
      </c>
      <c r="P21" s="119">
        <f>IF('Temperature in bundle'!$P$4="Current = 1A per pair",2,IF($A21="","",('Temperature in bundle'!$Q$6-('Temperature in bundle'!$Q$6^2-4*(O21+P$7)*'Temperature in bundle'!$Q$7)^0.5)/2/(O21+P$7)))</f>
        <v>0.51454934327511492</v>
      </c>
      <c r="Q21" s="98">
        <f>IF($A21="","",O21*P21^2)</f>
        <v>5.9139723581719011E-2</v>
      </c>
      <c r="R21" s="101">
        <f>IF($A21="","",P$3+P$4*(1-3.63*$G21^2/$C$15))</f>
        <v>0.60866849321077465</v>
      </c>
      <c r="T21" s="100">
        <f>IF($A21="","",$J21*(1+0.0039*R21))</f>
        <v>0.22337142746420494</v>
      </c>
      <c r="U21" s="119">
        <f>IF('Temperature in bundle'!$P$4="Current = 1A per pair",2,IF($A21="","",('Temperature in bundle'!$Q$6-('Temperature in bundle'!$Q$6^2-4*(T21+U$7)*'Temperature in bundle'!$Q$7)^0.5)/2/(T21+U$7)))</f>
        <v>0.51454936968973253</v>
      </c>
      <c r="V21" s="98">
        <f>IF($A21="","",T21*U21^2)</f>
        <v>5.914005453497756E-2</v>
      </c>
      <c r="W21" s="101">
        <f>IF($A21="","",U$3+U$4*(1-3.63*$G21^2/$C$15))</f>
        <v>0.60867173812240483</v>
      </c>
      <c r="Y21" s="100">
        <f>IF($A21="","",$J21*(1+0.0039*W21))</f>
        <v>0.22337143028431067</v>
      </c>
      <c r="Z21" s="119">
        <f>IF('Temperature in bundle'!$P$4="Current = 1A per pair",2,IF($A21="","",('Temperature in bundle'!$Q$6-('Temperature in bundle'!$Q$6^2-4*(Y21+Z$7)*'Temperature in bundle'!$Q$7)^0.5)/2/(Y21+Z$7)))</f>
        <v>0.51454936973088838</v>
      </c>
      <c r="AA21" s="98">
        <f>IF($A21="","",Y21*Z21^2)</f>
        <v>5.9140055291092265E-2</v>
      </c>
      <c r="AB21" s="101">
        <f>IF($A21="","",Z$3+Z$4*(1-3.63*$G21^2/$C$15))</f>
        <v>0.60867174553372505</v>
      </c>
    </row>
    <row r="22" spans="1:28">
      <c r="A22">
        <f>IF(A21&lt;C$15,A21+1,"")</f>
        <v>2</v>
      </c>
      <c r="B22" s="113">
        <v>1</v>
      </c>
      <c r="C22" s="113">
        <v>0</v>
      </c>
      <c r="D22" s="113">
        <f t="shared" si="1"/>
        <v>1</v>
      </c>
      <c r="E22" s="113">
        <f t="shared" si="2"/>
        <v>1</v>
      </c>
      <c r="F22" s="113">
        <f t="shared" si="3"/>
        <v>0</v>
      </c>
      <c r="G22" s="97">
        <f t="shared" ref="G22:G44" si="4">IF(A22="","",((E$20-E22)^2+(F$20-F22)^2)^0.5)</f>
        <v>0.57735026918962573</v>
      </c>
      <c r="J22" s="116">
        <f t="shared" ref="J22:J44" si="5">IF($A22="","",$C$10)</f>
        <v>0.22284244248680671</v>
      </c>
      <c r="K22" s="119">
        <f t="shared" ref="K22:K44" si="6">IF($A22="","",$C$12)</f>
        <v>0.51453105392986931</v>
      </c>
      <c r="L22" s="98">
        <f t="shared" ref="L22:L44" si="7">IF($A22="","",J22*K22^2)</f>
        <v>5.8995799693645302E-2</v>
      </c>
      <c r="M22" s="101">
        <f t="shared" ref="M22:M44" si="8">IF($A22="","",K$3+K$4*(1-3.63*$G22^2/$C$15))</f>
        <v>0.60725657955914358</v>
      </c>
      <c r="O22" s="100">
        <f t="shared" ref="O22:O44" si="9">IF($A22="","",$J22*(1+0.0039*M22))</f>
        <v>0.22337020039048675</v>
      </c>
      <c r="P22" s="119">
        <f>IF('Temperature in bundle'!$P$4="Current = 1A per pair",2,IF($A22="","",('Temperature in bundle'!$Q$6-('Temperature in bundle'!$Q$6^2-4*(O22+P$7)*'Temperature in bundle'!$Q$7)^0.5)/2/(O22+P$7)))</f>
        <v>0.51454934327511492</v>
      </c>
      <c r="Q22" s="98">
        <f t="shared" ref="Q22:Q44" si="10">IF($A22="","",O22*P22^2)</f>
        <v>5.9139723581719011E-2</v>
      </c>
      <c r="R22" s="101">
        <f t="shared" ref="R22:R44" si="11">IF($A22="","",P$3+P$4*(1-3.63*$G22^2/$C$15))</f>
        <v>0.60866849321077465</v>
      </c>
      <c r="T22" s="100">
        <f t="shared" ref="T22:T44" si="12">IF($A22="","",$J22*(1+0.0039*R22))</f>
        <v>0.22337142746420494</v>
      </c>
      <c r="U22" s="119">
        <f>IF('Temperature in bundle'!$P$4="Current = 1A per pair",2,IF($A22="","",('Temperature in bundle'!$Q$6-('Temperature in bundle'!$Q$6^2-4*(T22+U$7)*'Temperature in bundle'!$Q$7)^0.5)/2/(T22+U$7)))</f>
        <v>0.51454936968973253</v>
      </c>
      <c r="V22" s="98">
        <f t="shared" ref="V22:V44" si="13">IF($A22="","",T22*U22^2)</f>
        <v>5.914005453497756E-2</v>
      </c>
      <c r="W22" s="101">
        <f t="shared" ref="W22:W44" si="14">IF($A22="","",U$3+U$4*(1-3.63*$G22^2/$C$15))</f>
        <v>0.60867173812240483</v>
      </c>
      <c r="Y22" s="100">
        <f t="shared" ref="Y22:Y44" si="15">IF($A22="","",$J22*(1+0.0039*W22))</f>
        <v>0.22337143028431067</v>
      </c>
      <c r="Z22" s="119">
        <f>IF('Temperature in bundle'!$P$4="Current = 1A per pair",2,IF($A22="","",('Temperature in bundle'!$Q$6-('Temperature in bundle'!$Q$6^2-4*(Y22+Z$7)*'Temperature in bundle'!$Q$7)^0.5)/2/(Y22+Z$7)))</f>
        <v>0.51454936973088838</v>
      </c>
      <c r="AA22" s="98">
        <f t="shared" ref="AA22:AA44" si="16">IF($A22="","",Y22*Z22^2)</f>
        <v>5.9140055291092265E-2</v>
      </c>
      <c r="AB22" s="101">
        <f t="shared" ref="AB22:AB44" si="17">IF($A22="","",Z$3+Z$4*(1-3.63*$G22^2/$C$15))</f>
        <v>0.60867174553372505</v>
      </c>
    </row>
    <row r="23" spans="1:28">
      <c r="A23">
        <f t="shared" ref="A23:A44" si="18">IF(A22&lt;C$15,A22+1,"")</f>
        <v>3</v>
      </c>
      <c r="B23" s="113">
        <v>0.5</v>
      </c>
      <c r="C23" s="113">
        <f>SQRT(3)/2</f>
        <v>0.8660254037844386</v>
      </c>
      <c r="D23" s="113">
        <f t="shared" si="1"/>
        <v>1</v>
      </c>
      <c r="E23" s="113">
        <f t="shared" si="2"/>
        <v>0.5</v>
      </c>
      <c r="F23" s="113">
        <f t="shared" si="3"/>
        <v>0.8660254037844386</v>
      </c>
      <c r="G23" s="97">
        <f t="shared" si="4"/>
        <v>0.57735026918962573</v>
      </c>
      <c r="J23" s="116">
        <f t="shared" si="5"/>
        <v>0.22284244248680671</v>
      </c>
      <c r="K23" s="119">
        <f t="shared" si="6"/>
        <v>0.51453105392986931</v>
      </c>
      <c r="L23" s="98">
        <f t="shared" si="7"/>
        <v>5.8995799693645302E-2</v>
      </c>
      <c r="M23" s="101">
        <f t="shared" si="8"/>
        <v>0.60725657955914358</v>
      </c>
      <c r="O23" s="100">
        <f t="shared" si="9"/>
        <v>0.22337020039048675</v>
      </c>
      <c r="P23" s="119">
        <f>IF('Temperature in bundle'!$P$4="Current = 1A per pair",2,IF($A23="","",('Temperature in bundle'!$Q$6-('Temperature in bundle'!$Q$6^2-4*(O23+P$7)*'Temperature in bundle'!$Q$7)^0.5)/2/(O23+P$7)))</f>
        <v>0.51454934327511492</v>
      </c>
      <c r="Q23" s="98">
        <f t="shared" si="10"/>
        <v>5.9139723581719011E-2</v>
      </c>
      <c r="R23" s="101">
        <f t="shared" si="11"/>
        <v>0.60866849321077465</v>
      </c>
      <c r="T23" s="100">
        <f t="shared" si="12"/>
        <v>0.22337142746420494</v>
      </c>
      <c r="U23" s="119">
        <f>IF('Temperature in bundle'!$P$4="Current = 1A per pair",2,IF($A23="","",('Temperature in bundle'!$Q$6-('Temperature in bundle'!$Q$6^2-4*(T23+U$7)*'Temperature in bundle'!$Q$7)^0.5)/2/(T23+U$7)))</f>
        <v>0.51454936968973253</v>
      </c>
      <c r="V23" s="98">
        <f t="shared" si="13"/>
        <v>5.914005453497756E-2</v>
      </c>
      <c r="W23" s="101">
        <f t="shared" si="14"/>
        <v>0.60867173812240483</v>
      </c>
      <c r="Y23" s="100">
        <f t="shared" si="15"/>
        <v>0.22337143028431067</v>
      </c>
      <c r="Z23" s="119">
        <f>IF('Temperature in bundle'!$P$4="Current = 1A per pair",2,IF($A23="","",('Temperature in bundle'!$Q$6-('Temperature in bundle'!$Q$6^2-4*(Y23+Z$7)*'Temperature in bundle'!$Q$7)^0.5)/2/(Y23+Z$7)))</f>
        <v>0.51454936973088838</v>
      </c>
      <c r="AA23" s="98">
        <f t="shared" si="16"/>
        <v>5.9140055291092265E-2</v>
      </c>
      <c r="AB23" s="101">
        <f t="shared" si="17"/>
        <v>0.60867174553372505</v>
      </c>
    </row>
    <row r="24" spans="1:28">
      <c r="A24">
        <f t="shared" si="18"/>
        <v>4</v>
      </c>
      <c r="B24" s="113">
        <v>-0.5</v>
      </c>
      <c r="C24" s="113">
        <f>SQRT(3)/2</f>
        <v>0.8660254037844386</v>
      </c>
      <c r="D24" s="113">
        <f t="shared" si="1"/>
        <v>1</v>
      </c>
      <c r="E24" s="113">
        <f t="shared" si="2"/>
        <v>-0.5</v>
      </c>
      <c r="F24" s="113">
        <f t="shared" si="3"/>
        <v>0.8660254037844386</v>
      </c>
      <c r="G24" s="97">
        <f t="shared" si="4"/>
        <v>1.1547005383792515</v>
      </c>
      <c r="J24" s="116">
        <f t="shared" si="5"/>
        <v>0.22284244248680671</v>
      </c>
      <c r="K24" s="119">
        <f t="shared" si="6"/>
        <v>0.51453105392986931</v>
      </c>
      <c r="L24" s="98">
        <f t="shared" si="7"/>
        <v>5.8995799693645302E-2</v>
      </c>
      <c r="M24" s="101">
        <f t="shared" si="8"/>
        <v>0.58388651724002405</v>
      </c>
      <c r="O24" s="100">
        <f t="shared" si="9"/>
        <v>0.22334988980759052</v>
      </c>
      <c r="P24" s="119">
        <f>IF('Temperature in bundle'!$P$4="Current = 1A per pair",2,IF($A24="","",('Temperature in bundle'!$Q$6-('Temperature in bundle'!$Q$6^2-4*(O24+P$7)*'Temperature in bundle'!$Q$7)^0.5)/2/(O24+P$7)))</f>
        <v>0.51454922927949098</v>
      </c>
      <c r="Q24" s="98">
        <f t="shared" si="10"/>
        <v>5.9134319929153051E-2</v>
      </c>
      <c r="R24" s="101">
        <f t="shared" si="11"/>
        <v>0.58524409387639909</v>
      </c>
      <c r="T24" s="100">
        <f t="shared" si="12"/>
        <v>0.22335106965779525</v>
      </c>
      <c r="U24" s="119">
        <f>IF('Temperature in bundle'!$P$4="Current = 1A per pair",2,IF($A24="","",('Temperature in bundle'!$Q$6-('Temperature in bundle'!$Q$6^2-4*(T24+U$7)*'Temperature in bundle'!$Q$7)^0.5)/2/(T24+U$7)))</f>
        <v>0.51454925542903662</v>
      </c>
      <c r="V24" s="98">
        <f t="shared" si="13"/>
        <v>5.9134638317845691E-2</v>
      </c>
      <c r="W24" s="101">
        <f t="shared" si="14"/>
        <v>0.58524721390871193</v>
      </c>
      <c r="Y24" s="100">
        <f t="shared" si="15"/>
        <v>0.22335107236937018</v>
      </c>
      <c r="Z24" s="119">
        <f>IF('Temperature in bundle'!$P$4="Current = 1A per pair",2,IF($A24="","",('Temperature in bundle'!$Q$6-('Temperature in bundle'!$Q$6^2-4*(Y24+Z$7)*'Temperature in bundle'!$Q$7)^0.5)/2/(Y24+Z$7)))</f>
        <v>0.51454925546958374</v>
      </c>
      <c r="AA24" s="98">
        <f t="shared" si="16"/>
        <v>5.9134639045084585E-2</v>
      </c>
      <c r="AB24" s="101">
        <f t="shared" si="17"/>
        <v>0.58524722103481008</v>
      </c>
    </row>
    <row r="25" spans="1:28">
      <c r="A25">
        <f t="shared" si="18"/>
        <v>5</v>
      </c>
      <c r="B25" s="113">
        <v>-1</v>
      </c>
      <c r="C25" s="113">
        <v>0</v>
      </c>
      <c r="D25" s="113">
        <f t="shared" si="1"/>
        <v>1</v>
      </c>
      <c r="E25" s="113">
        <f t="shared" si="2"/>
        <v>-1</v>
      </c>
      <c r="F25" s="113">
        <f t="shared" si="3"/>
        <v>0</v>
      </c>
      <c r="G25" s="97">
        <f t="shared" si="4"/>
        <v>1.5275252316519468</v>
      </c>
      <c r="J25" s="116">
        <f t="shared" si="5"/>
        <v>0.22284244248680671</v>
      </c>
      <c r="K25" s="119">
        <f t="shared" si="6"/>
        <v>0.51453105392986931</v>
      </c>
      <c r="L25" s="98">
        <f t="shared" si="7"/>
        <v>5.8995799693645302E-2</v>
      </c>
      <c r="M25" s="101">
        <f t="shared" si="8"/>
        <v>0.56051645492090441</v>
      </c>
      <c r="O25" s="100">
        <f t="shared" si="9"/>
        <v>0.22332957922469435</v>
      </c>
      <c r="P25" s="119">
        <f>IF('Temperature in bundle'!$P$4="Current = 1A per pair",2,IF($A25="","",('Temperature in bundle'!$Q$6-('Temperature in bundle'!$Q$6^2-4*(O25+P$7)*'Temperature in bundle'!$Q$7)^0.5)/2/(O25+P$7)))</f>
        <v>0.51454911528396863</v>
      </c>
      <c r="Q25" s="98">
        <f t="shared" si="10"/>
        <v>5.9128916281381658E-2</v>
      </c>
      <c r="R25" s="101">
        <f t="shared" si="11"/>
        <v>0.56181969454202341</v>
      </c>
      <c r="T25" s="100">
        <f t="shared" si="12"/>
        <v>0.22333071185138559</v>
      </c>
      <c r="U25" s="119">
        <f>IF('Temperature in bundle'!$P$4="Current = 1A per pair",2,IF($A25="","",('Temperature in bundle'!$Q$6-('Temperature in bundle'!$Q$6^2-4*(T25+U$7)*'Temperature in bundle'!$Q$7)^0.5)/2/(T25+U$7)))</f>
        <v>0.51454914116844475</v>
      </c>
      <c r="V25" s="98">
        <f t="shared" si="13"/>
        <v>5.9129222105531148E-2</v>
      </c>
      <c r="W25" s="101">
        <f t="shared" si="14"/>
        <v>0.56182268969501914</v>
      </c>
      <c r="Y25" s="100">
        <f t="shared" si="15"/>
        <v>0.22333071445442967</v>
      </c>
      <c r="Z25" s="119">
        <f>IF('Temperature in bundle'!$P$4="Current = 1A per pair",2,IF($A25="","",('Temperature in bundle'!$Q$6-('Temperature in bundle'!$Q$6^2-4*(Y25+Z$7)*'Temperature in bundle'!$Q$7)^0.5)/2/(Y25+Z$7)))</f>
        <v>0.51454914120838202</v>
      </c>
      <c r="AA25" s="98">
        <f t="shared" si="16"/>
        <v>5.9129222803893981E-2</v>
      </c>
      <c r="AB25" s="101">
        <f t="shared" si="17"/>
        <v>0.56182269653589501</v>
      </c>
    </row>
    <row r="26" spans="1:28">
      <c r="A26">
        <f t="shared" si="18"/>
        <v>6</v>
      </c>
      <c r="B26" s="113">
        <v>-0.5</v>
      </c>
      <c r="C26" s="113">
        <f>-SQRT(3)/2</f>
        <v>-0.8660254037844386</v>
      </c>
      <c r="D26" s="113">
        <f t="shared" si="1"/>
        <v>1</v>
      </c>
      <c r="E26" s="113">
        <f t="shared" si="2"/>
        <v>-0.5</v>
      </c>
      <c r="F26" s="113">
        <f t="shared" si="3"/>
        <v>-0.8660254037844386</v>
      </c>
      <c r="G26" s="97">
        <f t="shared" si="4"/>
        <v>1.5275252316519465</v>
      </c>
      <c r="J26" s="116">
        <f t="shared" si="5"/>
        <v>0.22284244248680671</v>
      </c>
      <c r="K26" s="119">
        <f t="shared" si="6"/>
        <v>0.51453105392986931</v>
      </c>
      <c r="L26" s="98">
        <f t="shared" si="7"/>
        <v>5.8995799693645302E-2</v>
      </c>
      <c r="M26" s="101">
        <f t="shared" si="8"/>
        <v>0.56051645492090441</v>
      </c>
      <c r="O26" s="100">
        <f t="shared" si="9"/>
        <v>0.22332957922469435</v>
      </c>
      <c r="P26" s="119">
        <f>IF('Temperature in bundle'!$P$4="Current = 1A per pair",2,IF($A26="","",('Temperature in bundle'!$Q$6-('Temperature in bundle'!$Q$6^2-4*(O26+P$7)*'Temperature in bundle'!$Q$7)^0.5)/2/(O26+P$7)))</f>
        <v>0.51454911528396863</v>
      </c>
      <c r="Q26" s="98">
        <f t="shared" si="10"/>
        <v>5.9128916281381658E-2</v>
      </c>
      <c r="R26" s="101">
        <f t="shared" si="11"/>
        <v>0.56181969454202341</v>
      </c>
      <c r="T26" s="100">
        <f t="shared" si="12"/>
        <v>0.22333071185138559</v>
      </c>
      <c r="U26" s="119">
        <f>IF('Temperature in bundle'!$P$4="Current = 1A per pair",2,IF($A26="","",('Temperature in bundle'!$Q$6-('Temperature in bundle'!$Q$6^2-4*(T26+U$7)*'Temperature in bundle'!$Q$7)^0.5)/2/(T26+U$7)))</f>
        <v>0.51454914116844475</v>
      </c>
      <c r="V26" s="98">
        <f t="shared" si="13"/>
        <v>5.9129222105531148E-2</v>
      </c>
      <c r="W26" s="101">
        <f t="shared" si="14"/>
        <v>0.56182268969501914</v>
      </c>
      <c r="Y26" s="100">
        <f t="shared" si="15"/>
        <v>0.22333071445442967</v>
      </c>
      <c r="Z26" s="119">
        <f>IF('Temperature in bundle'!$P$4="Current = 1A per pair",2,IF($A26="","",('Temperature in bundle'!$Q$6-('Temperature in bundle'!$Q$6^2-4*(Y26+Z$7)*'Temperature in bundle'!$Q$7)^0.5)/2/(Y26+Z$7)))</f>
        <v>0.51454914120838202</v>
      </c>
      <c r="AA26" s="98">
        <f t="shared" si="16"/>
        <v>5.9129222803893981E-2</v>
      </c>
      <c r="AB26" s="101">
        <f t="shared" si="17"/>
        <v>0.56182269653589512</v>
      </c>
    </row>
    <row r="27" spans="1:28">
      <c r="A27">
        <f t="shared" si="18"/>
        <v>7</v>
      </c>
      <c r="B27" s="113">
        <v>0.5</v>
      </c>
      <c r="C27" s="113">
        <f>-SQRT(3)/2</f>
        <v>-0.8660254037844386</v>
      </c>
      <c r="D27" s="113">
        <f t="shared" si="1"/>
        <v>1</v>
      </c>
      <c r="E27" s="113">
        <f t="shared" si="2"/>
        <v>0.5</v>
      </c>
      <c r="F27" s="113">
        <f t="shared" si="3"/>
        <v>-0.8660254037844386</v>
      </c>
      <c r="G27" s="97">
        <f t="shared" si="4"/>
        <v>1.1547005383792515</v>
      </c>
      <c r="J27" s="116">
        <f t="shared" si="5"/>
        <v>0.22284244248680671</v>
      </c>
      <c r="K27" s="119">
        <f t="shared" si="6"/>
        <v>0.51453105392986931</v>
      </c>
      <c r="L27" s="98">
        <f t="shared" si="7"/>
        <v>5.8995799693645302E-2</v>
      </c>
      <c r="M27" s="101">
        <f t="shared" si="8"/>
        <v>0.58388651724002405</v>
      </c>
      <c r="O27" s="100">
        <f t="shared" si="9"/>
        <v>0.22334988980759052</v>
      </c>
      <c r="P27" s="119">
        <f>IF('Temperature in bundle'!$P$4="Current = 1A per pair",2,IF($A27="","",('Temperature in bundle'!$Q$6-('Temperature in bundle'!$Q$6^2-4*(O27+P$7)*'Temperature in bundle'!$Q$7)^0.5)/2/(O27+P$7)))</f>
        <v>0.51454922927949098</v>
      </c>
      <c r="Q27" s="98">
        <f t="shared" si="10"/>
        <v>5.9134319929153051E-2</v>
      </c>
      <c r="R27" s="101">
        <f t="shared" si="11"/>
        <v>0.58524409387639909</v>
      </c>
      <c r="T27" s="100">
        <f t="shared" si="12"/>
        <v>0.22335106965779525</v>
      </c>
      <c r="U27" s="119">
        <f>IF('Temperature in bundle'!$P$4="Current = 1A per pair",2,IF($A27="","",('Temperature in bundle'!$Q$6-('Temperature in bundle'!$Q$6^2-4*(T27+U$7)*'Temperature in bundle'!$Q$7)^0.5)/2/(T27+U$7)))</f>
        <v>0.51454925542903662</v>
      </c>
      <c r="V27" s="98">
        <f t="shared" si="13"/>
        <v>5.9134638317845691E-2</v>
      </c>
      <c r="W27" s="101">
        <f t="shared" si="14"/>
        <v>0.58524721390871193</v>
      </c>
      <c r="Y27" s="100">
        <f t="shared" si="15"/>
        <v>0.22335107236937018</v>
      </c>
      <c r="Z27" s="119">
        <f>IF('Temperature in bundle'!$P$4="Current = 1A per pair",2,IF($A27="","",('Temperature in bundle'!$Q$6-('Temperature in bundle'!$Q$6^2-4*(Y27+Z$7)*'Temperature in bundle'!$Q$7)^0.5)/2/(Y27+Z$7)))</f>
        <v>0.51454925546958374</v>
      </c>
      <c r="AA27" s="98">
        <f t="shared" si="16"/>
        <v>5.9134639045084585E-2</v>
      </c>
      <c r="AB27" s="101">
        <f t="shared" si="17"/>
        <v>0.58524722103481008</v>
      </c>
    </row>
    <row r="28" spans="1:28">
      <c r="A28">
        <f t="shared" si="18"/>
        <v>8</v>
      </c>
      <c r="B28" s="113">
        <v>1.5</v>
      </c>
      <c r="C28" s="113">
        <f>-SQRT(3)/2</f>
        <v>-0.8660254037844386</v>
      </c>
      <c r="D28" s="113">
        <f t="shared" si="1"/>
        <v>1.7320508075688772</v>
      </c>
      <c r="E28" s="113">
        <f t="shared" si="2"/>
        <v>1.5</v>
      </c>
      <c r="F28" s="113">
        <f t="shared" si="3"/>
        <v>-0.8660254037844386</v>
      </c>
      <c r="G28" s="97">
        <f t="shared" si="4"/>
        <v>1.5275252316519465</v>
      </c>
      <c r="J28" s="116">
        <f t="shared" si="5"/>
        <v>0.22284244248680671</v>
      </c>
      <c r="K28" s="119">
        <f t="shared" si="6"/>
        <v>0.51453105392986931</v>
      </c>
      <c r="L28" s="98">
        <f t="shared" si="7"/>
        <v>5.8995799693645302E-2</v>
      </c>
      <c r="M28" s="101">
        <f t="shared" si="8"/>
        <v>0.56051645492090441</v>
      </c>
      <c r="O28" s="100">
        <f t="shared" si="9"/>
        <v>0.22332957922469435</v>
      </c>
      <c r="P28" s="119">
        <f>IF('Temperature in bundle'!$P$4="Current = 1A per pair",2,IF($A28="","",('Temperature in bundle'!$Q$6-('Temperature in bundle'!$Q$6^2-4*(O28+P$7)*'Temperature in bundle'!$Q$7)^0.5)/2/(O28+P$7)))</f>
        <v>0.51454911528396863</v>
      </c>
      <c r="Q28" s="98">
        <f t="shared" si="10"/>
        <v>5.9128916281381658E-2</v>
      </c>
      <c r="R28" s="101">
        <f t="shared" si="11"/>
        <v>0.56181969454202341</v>
      </c>
      <c r="T28" s="100">
        <f t="shared" si="12"/>
        <v>0.22333071185138559</v>
      </c>
      <c r="U28" s="119">
        <f>IF('Temperature in bundle'!$P$4="Current = 1A per pair",2,IF($A28="","",('Temperature in bundle'!$Q$6-('Temperature in bundle'!$Q$6^2-4*(T28+U$7)*'Temperature in bundle'!$Q$7)^0.5)/2/(T28+U$7)))</f>
        <v>0.51454914116844475</v>
      </c>
      <c r="V28" s="98">
        <f t="shared" si="13"/>
        <v>5.9129222105531148E-2</v>
      </c>
      <c r="W28" s="101">
        <f t="shared" si="14"/>
        <v>0.56182268969501914</v>
      </c>
      <c r="Y28" s="100">
        <f t="shared" si="15"/>
        <v>0.22333071445442967</v>
      </c>
      <c r="Z28" s="119">
        <f>IF('Temperature in bundle'!$P$4="Current = 1A per pair",2,IF($A28="","",('Temperature in bundle'!$Q$6-('Temperature in bundle'!$Q$6^2-4*(Y28+Z$7)*'Temperature in bundle'!$Q$7)^0.5)/2/(Y28+Z$7)))</f>
        <v>0.51454914120838202</v>
      </c>
      <c r="AA28" s="98">
        <f t="shared" si="16"/>
        <v>5.9129222803893981E-2</v>
      </c>
      <c r="AB28" s="101">
        <f t="shared" si="17"/>
        <v>0.56182269653589512</v>
      </c>
    </row>
    <row r="29" spans="1:28">
      <c r="A29">
        <f t="shared" si="18"/>
        <v>9</v>
      </c>
      <c r="B29" s="113">
        <v>2</v>
      </c>
      <c r="C29" s="113">
        <v>0</v>
      </c>
      <c r="D29" s="113">
        <f t="shared" si="1"/>
        <v>2</v>
      </c>
      <c r="E29" s="113">
        <f t="shared" si="2"/>
        <v>2</v>
      </c>
      <c r="F29" s="113">
        <f t="shared" si="3"/>
        <v>0</v>
      </c>
      <c r="G29" s="97">
        <f t="shared" si="4"/>
        <v>1.5275252316519468</v>
      </c>
      <c r="J29" s="116">
        <f t="shared" si="5"/>
        <v>0.22284244248680671</v>
      </c>
      <c r="K29" s="119">
        <f t="shared" si="6"/>
        <v>0.51453105392986931</v>
      </c>
      <c r="L29" s="98">
        <f t="shared" si="7"/>
        <v>5.8995799693645302E-2</v>
      </c>
      <c r="M29" s="101">
        <f t="shared" si="8"/>
        <v>0.56051645492090441</v>
      </c>
      <c r="O29" s="100">
        <f t="shared" si="9"/>
        <v>0.22332957922469435</v>
      </c>
      <c r="P29" s="119">
        <f>IF('Temperature in bundle'!$P$4="Current = 1A per pair",2,IF($A29="","",('Temperature in bundle'!$Q$6-('Temperature in bundle'!$Q$6^2-4*(O29+P$7)*'Temperature in bundle'!$Q$7)^0.5)/2/(O29+P$7)))</f>
        <v>0.51454911528396863</v>
      </c>
      <c r="Q29" s="98">
        <f t="shared" si="10"/>
        <v>5.9128916281381658E-2</v>
      </c>
      <c r="R29" s="101">
        <f t="shared" si="11"/>
        <v>0.56181969454202341</v>
      </c>
      <c r="T29" s="100">
        <f t="shared" si="12"/>
        <v>0.22333071185138559</v>
      </c>
      <c r="U29" s="119">
        <f>IF('Temperature in bundle'!$P$4="Current = 1A per pair",2,IF($A29="","",('Temperature in bundle'!$Q$6-('Temperature in bundle'!$Q$6^2-4*(T29+U$7)*'Temperature in bundle'!$Q$7)^0.5)/2/(T29+U$7)))</f>
        <v>0.51454914116844475</v>
      </c>
      <c r="V29" s="98">
        <f t="shared" si="13"/>
        <v>5.9129222105531148E-2</v>
      </c>
      <c r="W29" s="101">
        <f t="shared" si="14"/>
        <v>0.56182268969501914</v>
      </c>
      <c r="Y29" s="100">
        <f t="shared" si="15"/>
        <v>0.22333071445442967</v>
      </c>
      <c r="Z29" s="119">
        <f>IF('Temperature in bundle'!$P$4="Current = 1A per pair",2,IF($A29="","",('Temperature in bundle'!$Q$6-('Temperature in bundle'!$Q$6^2-4*(Y29+Z$7)*'Temperature in bundle'!$Q$7)^0.5)/2/(Y29+Z$7)))</f>
        <v>0.51454914120838202</v>
      </c>
      <c r="AA29" s="98">
        <f t="shared" si="16"/>
        <v>5.9129222803893981E-2</v>
      </c>
      <c r="AB29" s="101">
        <f t="shared" si="17"/>
        <v>0.56182269653589501</v>
      </c>
    </row>
    <row r="30" spans="1:28">
      <c r="A30">
        <f t="shared" si="18"/>
        <v>10</v>
      </c>
      <c r="B30" s="113">
        <v>1.5</v>
      </c>
      <c r="C30" s="113">
        <f>SQRT(3)/2</f>
        <v>0.8660254037844386</v>
      </c>
      <c r="D30" s="113">
        <f t="shared" si="1"/>
        <v>1.7320508075688772</v>
      </c>
      <c r="E30" s="113">
        <f t="shared" si="2"/>
        <v>1.5</v>
      </c>
      <c r="F30" s="113">
        <f t="shared" si="3"/>
        <v>0.8660254037844386</v>
      </c>
      <c r="G30" s="97">
        <f t="shared" si="4"/>
        <v>1.1547005383792515</v>
      </c>
      <c r="J30" s="116">
        <f t="shared" si="5"/>
        <v>0.22284244248680671</v>
      </c>
      <c r="K30" s="119">
        <f t="shared" si="6"/>
        <v>0.51453105392986931</v>
      </c>
      <c r="L30" s="98">
        <f t="shared" si="7"/>
        <v>5.8995799693645302E-2</v>
      </c>
      <c r="M30" s="101">
        <f t="shared" si="8"/>
        <v>0.58388651724002405</v>
      </c>
      <c r="O30" s="100">
        <f t="shared" si="9"/>
        <v>0.22334988980759052</v>
      </c>
      <c r="P30" s="119">
        <f>IF('Temperature in bundle'!$P$4="Current = 1A per pair",2,IF($A30="","",('Temperature in bundle'!$Q$6-('Temperature in bundle'!$Q$6^2-4*(O30+P$7)*'Temperature in bundle'!$Q$7)^0.5)/2/(O30+P$7)))</f>
        <v>0.51454922927949098</v>
      </c>
      <c r="Q30" s="98">
        <f t="shared" si="10"/>
        <v>5.9134319929153051E-2</v>
      </c>
      <c r="R30" s="101">
        <f t="shared" si="11"/>
        <v>0.58524409387639909</v>
      </c>
      <c r="T30" s="100">
        <f t="shared" si="12"/>
        <v>0.22335106965779525</v>
      </c>
      <c r="U30" s="119">
        <f>IF('Temperature in bundle'!$P$4="Current = 1A per pair",2,IF($A30="","",('Temperature in bundle'!$Q$6-('Temperature in bundle'!$Q$6^2-4*(T30+U$7)*'Temperature in bundle'!$Q$7)^0.5)/2/(T30+U$7)))</f>
        <v>0.51454925542903662</v>
      </c>
      <c r="V30" s="98">
        <f t="shared" si="13"/>
        <v>5.9134638317845691E-2</v>
      </c>
      <c r="W30" s="101">
        <f t="shared" si="14"/>
        <v>0.58524721390871193</v>
      </c>
      <c r="Y30" s="100">
        <f t="shared" si="15"/>
        <v>0.22335107236937018</v>
      </c>
      <c r="Z30" s="119">
        <f>IF('Temperature in bundle'!$P$4="Current = 1A per pair",2,IF($A30="","",('Temperature in bundle'!$Q$6-('Temperature in bundle'!$Q$6^2-4*(Y30+Z$7)*'Temperature in bundle'!$Q$7)^0.5)/2/(Y30+Z$7)))</f>
        <v>0.51454925546958374</v>
      </c>
      <c r="AA30" s="98">
        <f t="shared" si="16"/>
        <v>5.9134639045084585E-2</v>
      </c>
      <c r="AB30" s="101">
        <f t="shared" si="17"/>
        <v>0.58524722103481008</v>
      </c>
    </row>
    <row r="31" spans="1:28">
      <c r="A31">
        <f t="shared" si="18"/>
        <v>11</v>
      </c>
      <c r="B31" s="113">
        <v>1</v>
      </c>
      <c r="C31" s="113">
        <f>SQRT(3)</f>
        <v>1.7320508075688772</v>
      </c>
      <c r="D31" s="113">
        <f t="shared" si="1"/>
        <v>2</v>
      </c>
      <c r="E31" s="113">
        <f t="shared" si="2"/>
        <v>1</v>
      </c>
      <c r="F31" s="113">
        <f t="shared" si="3"/>
        <v>1.7320508075688772</v>
      </c>
      <c r="G31" s="97">
        <f t="shared" si="4"/>
        <v>1.5275252316519465</v>
      </c>
      <c r="J31" s="116">
        <f t="shared" si="5"/>
        <v>0.22284244248680671</v>
      </c>
      <c r="K31" s="119">
        <f t="shared" si="6"/>
        <v>0.51453105392986931</v>
      </c>
      <c r="L31" s="98">
        <f t="shared" si="7"/>
        <v>5.8995799693645302E-2</v>
      </c>
      <c r="M31" s="101">
        <f t="shared" si="8"/>
        <v>0.56051645492090441</v>
      </c>
      <c r="O31" s="100">
        <f t="shared" si="9"/>
        <v>0.22332957922469435</v>
      </c>
      <c r="P31" s="119">
        <f>IF('Temperature in bundle'!$P$4="Current = 1A per pair",2,IF($A31="","",('Temperature in bundle'!$Q$6-('Temperature in bundle'!$Q$6^2-4*(O31+P$7)*'Temperature in bundle'!$Q$7)^0.5)/2/(O31+P$7)))</f>
        <v>0.51454911528396863</v>
      </c>
      <c r="Q31" s="98">
        <f t="shared" si="10"/>
        <v>5.9128916281381658E-2</v>
      </c>
      <c r="R31" s="101">
        <f t="shared" si="11"/>
        <v>0.56181969454202341</v>
      </c>
      <c r="T31" s="100">
        <f t="shared" si="12"/>
        <v>0.22333071185138559</v>
      </c>
      <c r="U31" s="119">
        <f>IF('Temperature in bundle'!$P$4="Current = 1A per pair",2,IF($A31="","",('Temperature in bundle'!$Q$6-('Temperature in bundle'!$Q$6^2-4*(T31+U$7)*'Temperature in bundle'!$Q$7)^0.5)/2/(T31+U$7)))</f>
        <v>0.51454914116844475</v>
      </c>
      <c r="V31" s="98">
        <f t="shared" si="13"/>
        <v>5.9129222105531148E-2</v>
      </c>
      <c r="W31" s="101">
        <f t="shared" si="14"/>
        <v>0.56182268969501914</v>
      </c>
      <c r="Y31" s="100">
        <f t="shared" si="15"/>
        <v>0.22333071445442967</v>
      </c>
      <c r="Z31" s="119">
        <f>IF('Temperature in bundle'!$P$4="Current = 1A per pair",2,IF($A31="","",('Temperature in bundle'!$Q$6-('Temperature in bundle'!$Q$6^2-4*(Y31+Z$7)*'Temperature in bundle'!$Q$7)^0.5)/2/(Y31+Z$7)))</f>
        <v>0.51454914120838202</v>
      </c>
      <c r="AA31" s="98">
        <f t="shared" si="16"/>
        <v>5.9129222803893981E-2</v>
      </c>
      <c r="AB31" s="101">
        <f t="shared" si="17"/>
        <v>0.56182269653589512</v>
      </c>
    </row>
    <row r="32" spans="1:28">
      <c r="A32">
        <f t="shared" si="18"/>
        <v>12</v>
      </c>
      <c r="B32" s="113">
        <v>0</v>
      </c>
      <c r="C32" s="113">
        <f>SQRT(3)</f>
        <v>1.7320508075688772</v>
      </c>
      <c r="D32" s="113">
        <f t="shared" si="1"/>
        <v>1.7320508075688772</v>
      </c>
      <c r="E32" s="113">
        <f t="shared" si="2"/>
        <v>0</v>
      </c>
      <c r="F32" s="113">
        <f t="shared" si="3"/>
        <v>1.7320508075688772</v>
      </c>
      <c r="G32" s="97">
        <f t="shared" si="4"/>
        <v>1.5275252316519465</v>
      </c>
      <c r="J32" s="116">
        <f t="shared" si="5"/>
        <v>0.22284244248680671</v>
      </c>
      <c r="K32" s="119">
        <f t="shared" si="6"/>
        <v>0.51453105392986931</v>
      </c>
      <c r="L32" s="98">
        <f t="shared" si="7"/>
        <v>5.8995799693645302E-2</v>
      </c>
      <c r="M32" s="101">
        <f t="shared" si="8"/>
        <v>0.56051645492090441</v>
      </c>
      <c r="O32" s="100">
        <f t="shared" si="9"/>
        <v>0.22332957922469435</v>
      </c>
      <c r="P32" s="119">
        <f>IF('Temperature in bundle'!$P$4="Current = 1A per pair",2,IF($A32="","",('Temperature in bundle'!$Q$6-('Temperature in bundle'!$Q$6^2-4*(O32+P$7)*'Temperature in bundle'!$Q$7)^0.5)/2/(O32+P$7)))</f>
        <v>0.51454911528396863</v>
      </c>
      <c r="Q32" s="98">
        <f t="shared" si="10"/>
        <v>5.9128916281381658E-2</v>
      </c>
      <c r="R32" s="101">
        <f t="shared" si="11"/>
        <v>0.56181969454202341</v>
      </c>
      <c r="T32" s="100">
        <f t="shared" si="12"/>
        <v>0.22333071185138559</v>
      </c>
      <c r="U32" s="119">
        <f>IF('Temperature in bundle'!$P$4="Current = 1A per pair",2,IF($A32="","",('Temperature in bundle'!$Q$6-('Temperature in bundle'!$Q$6^2-4*(T32+U$7)*'Temperature in bundle'!$Q$7)^0.5)/2/(T32+U$7)))</f>
        <v>0.51454914116844475</v>
      </c>
      <c r="V32" s="98">
        <f t="shared" si="13"/>
        <v>5.9129222105531148E-2</v>
      </c>
      <c r="W32" s="101">
        <f t="shared" si="14"/>
        <v>0.56182268969501914</v>
      </c>
      <c r="Y32" s="100">
        <f t="shared" si="15"/>
        <v>0.22333071445442967</v>
      </c>
      <c r="Z32" s="119">
        <f>IF('Temperature in bundle'!$P$4="Current = 1A per pair",2,IF($A32="","",('Temperature in bundle'!$Q$6-('Temperature in bundle'!$Q$6^2-4*(Y32+Z$7)*'Temperature in bundle'!$Q$7)^0.5)/2/(Y32+Z$7)))</f>
        <v>0.51454914120838202</v>
      </c>
      <c r="AA32" s="98">
        <f t="shared" si="16"/>
        <v>5.9129222803893981E-2</v>
      </c>
      <c r="AB32" s="101">
        <f t="shared" si="17"/>
        <v>0.56182269653589512</v>
      </c>
    </row>
    <row r="33" spans="1:28">
      <c r="A33" t="str">
        <f t="shared" si="18"/>
        <v/>
      </c>
      <c r="B33" s="113">
        <v>-1</v>
      </c>
      <c r="C33" s="113">
        <f>SQRT(3)</f>
        <v>1.7320508075688772</v>
      </c>
      <c r="D33" s="113">
        <f t="shared" si="1"/>
        <v>2</v>
      </c>
      <c r="E33" s="113" t="str">
        <f t="shared" si="2"/>
        <v/>
      </c>
      <c r="F33" s="113" t="str">
        <f t="shared" si="3"/>
        <v/>
      </c>
      <c r="G33" s="97" t="str">
        <f t="shared" si="4"/>
        <v/>
      </c>
      <c r="J33" s="116" t="str">
        <f t="shared" si="5"/>
        <v/>
      </c>
      <c r="K33" s="119" t="str">
        <f t="shared" si="6"/>
        <v/>
      </c>
      <c r="L33" s="98" t="str">
        <f t="shared" si="7"/>
        <v/>
      </c>
      <c r="M33" s="101" t="str">
        <f t="shared" si="8"/>
        <v/>
      </c>
      <c r="O33" s="100" t="str">
        <f t="shared" si="9"/>
        <v/>
      </c>
      <c r="P33" s="119" t="str">
        <f>IF('Temperature in bundle'!$P$4="Current = 1A per pair",2,IF($A33="","",('Temperature in bundle'!$Q$6-('Temperature in bundle'!$Q$6^2-4*(O33+P$7)*'Temperature in bundle'!$Q$7)^0.5)/2/(O33+P$7)))</f>
        <v/>
      </c>
      <c r="Q33" s="98" t="str">
        <f t="shared" si="10"/>
        <v/>
      </c>
      <c r="R33" s="101" t="str">
        <f t="shared" si="11"/>
        <v/>
      </c>
      <c r="T33" s="100" t="str">
        <f t="shared" si="12"/>
        <v/>
      </c>
      <c r="U33" s="119" t="str">
        <f>IF('Temperature in bundle'!$P$4="Current = 1A per pair",2,IF($A33="","",('Temperature in bundle'!$Q$6-('Temperature in bundle'!$Q$6^2-4*(T33+U$7)*'Temperature in bundle'!$Q$7)^0.5)/2/(T33+U$7)))</f>
        <v/>
      </c>
      <c r="V33" s="98" t="str">
        <f t="shared" si="13"/>
        <v/>
      </c>
      <c r="W33" s="101" t="str">
        <f t="shared" si="14"/>
        <v/>
      </c>
      <c r="Y33" s="100" t="str">
        <f t="shared" si="15"/>
        <v/>
      </c>
      <c r="Z33" s="119" t="str">
        <f>IF('Temperature in bundle'!$P$4="Current = 1A per pair",2,IF($A33="","",('Temperature in bundle'!$Q$6-('Temperature in bundle'!$Q$6^2-4*(Y33+Z$7)*'Temperature in bundle'!$Q$7)^0.5)/2/(Y33+Z$7)))</f>
        <v/>
      </c>
      <c r="AA33" s="98" t="str">
        <f t="shared" si="16"/>
        <v/>
      </c>
      <c r="AB33" s="101" t="str">
        <f t="shared" si="17"/>
        <v/>
      </c>
    </row>
    <row r="34" spans="1:28">
      <c r="A34" t="str">
        <f t="shared" si="18"/>
        <v/>
      </c>
      <c r="B34" s="113">
        <v>-1.5</v>
      </c>
      <c r="C34" s="113">
        <f>SQRT(3)/2</f>
        <v>0.8660254037844386</v>
      </c>
      <c r="D34" s="113">
        <f t="shared" si="1"/>
        <v>1.7320508075688772</v>
      </c>
      <c r="E34" s="113" t="str">
        <f t="shared" si="2"/>
        <v/>
      </c>
      <c r="F34" s="113" t="str">
        <f t="shared" si="3"/>
        <v/>
      </c>
      <c r="G34" s="97" t="str">
        <f t="shared" si="4"/>
        <v/>
      </c>
      <c r="J34" s="116" t="str">
        <f t="shared" si="5"/>
        <v/>
      </c>
      <c r="K34" s="119" t="str">
        <f t="shared" si="6"/>
        <v/>
      </c>
      <c r="L34" s="98" t="str">
        <f t="shared" si="7"/>
        <v/>
      </c>
      <c r="M34" s="101" t="str">
        <f t="shared" si="8"/>
        <v/>
      </c>
      <c r="O34" s="100" t="str">
        <f t="shared" si="9"/>
        <v/>
      </c>
      <c r="P34" s="119" t="str">
        <f>IF('Temperature in bundle'!$P$4="Current = 1A per pair",2,IF($A34="","",('Temperature in bundle'!$Q$6-('Temperature in bundle'!$Q$6^2-4*(O34+P$7)*'Temperature in bundle'!$Q$7)^0.5)/2/(O34+P$7)))</f>
        <v/>
      </c>
      <c r="Q34" s="98" t="str">
        <f t="shared" si="10"/>
        <v/>
      </c>
      <c r="R34" s="101" t="str">
        <f t="shared" si="11"/>
        <v/>
      </c>
      <c r="T34" s="100" t="str">
        <f t="shared" si="12"/>
        <v/>
      </c>
      <c r="U34" s="119" t="str">
        <f>IF('Temperature in bundle'!$P$4="Current = 1A per pair",2,IF($A34="","",('Temperature in bundle'!$Q$6-('Temperature in bundle'!$Q$6^2-4*(T34+U$7)*'Temperature in bundle'!$Q$7)^0.5)/2/(T34+U$7)))</f>
        <v/>
      </c>
      <c r="V34" s="98" t="str">
        <f t="shared" si="13"/>
        <v/>
      </c>
      <c r="W34" s="101" t="str">
        <f t="shared" si="14"/>
        <v/>
      </c>
      <c r="Y34" s="100" t="str">
        <f t="shared" si="15"/>
        <v/>
      </c>
      <c r="Z34" s="119" t="str">
        <f>IF('Temperature in bundle'!$P$4="Current = 1A per pair",2,IF($A34="","",('Temperature in bundle'!$Q$6-('Temperature in bundle'!$Q$6^2-4*(Y34+Z$7)*'Temperature in bundle'!$Q$7)^0.5)/2/(Y34+Z$7)))</f>
        <v/>
      </c>
      <c r="AA34" s="98" t="str">
        <f t="shared" si="16"/>
        <v/>
      </c>
      <c r="AB34" s="101" t="str">
        <f t="shared" si="17"/>
        <v/>
      </c>
    </row>
    <row r="35" spans="1:28">
      <c r="A35" t="str">
        <f t="shared" si="18"/>
        <v/>
      </c>
      <c r="B35" s="113">
        <v>-2</v>
      </c>
      <c r="C35" s="113">
        <v>0</v>
      </c>
      <c r="D35" s="113">
        <f t="shared" si="1"/>
        <v>2</v>
      </c>
      <c r="E35" s="113" t="str">
        <f t="shared" si="2"/>
        <v/>
      </c>
      <c r="F35" s="113" t="str">
        <f t="shared" si="3"/>
        <v/>
      </c>
      <c r="G35" s="97" t="str">
        <f t="shared" si="4"/>
        <v/>
      </c>
      <c r="J35" s="116" t="str">
        <f t="shared" si="5"/>
        <v/>
      </c>
      <c r="K35" s="119" t="str">
        <f t="shared" si="6"/>
        <v/>
      </c>
      <c r="L35" s="98" t="str">
        <f t="shared" si="7"/>
        <v/>
      </c>
      <c r="M35" s="101" t="str">
        <f t="shared" si="8"/>
        <v/>
      </c>
      <c r="O35" s="100" t="str">
        <f t="shared" si="9"/>
        <v/>
      </c>
      <c r="P35" s="119" t="str">
        <f>IF('Temperature in bundle'!$P$4="Current = 1A per pair",2,IF($A35="","",('Temperature in bundle'!$Q$6-('Temperature in bundle'!$Q$6^2-4*(O35+P$7)*'Temperature in bundle'!$Q$7)^0.5)/2/(O35+P$7)))</f>
        <v/>
      </c>
      <c r="Q35" s="98" t="str">
        <f t="shared" si="10"/>
        <v/>
      </c>
      <c r="R35" s="101" t="str">
        <f t="shared" si="11"/>
        <v/>
      </c>
      <c r="T35" s="100" t="str">
        <f t="shared" si="12"/>
        <v/>
      </c>
      <c r="U35" s="119" t="str">
        <f>IF('Temperature in bundle'!$P$4="Current = 1A per pair",2,IF($A35="","",('Temperature in bundle'!$Q$6-('Temperature in bundle'!$Q$6^2-4*(T35+U$7)*'Temperature in bundle'!$Q$7)^0.5)/2/(T35+U$7)))</f>
        <v/>
      </c>
      <c r="V35" s="98" t="str">
        <f t="shared" si="13"/>
        <v/>
      </c>
      <c r="W35" s="101" t="str">
        <f t="shared" si="14"/>
        <v/>
      </c>
      <c r="Y35" s="100" t="str">
        <f t="shared" si="15"/>
        <v/>
      </c>
      <c r="Z35" s="119" t="str">
        <f>IF('Temperature in bundle'!$P$4="Current = 1A per pair",2,IF($A35="","",('Temperature in bundle'!$Q$6-('Temperature in bundle'!$Q$6^2-4*(Y35+Z$7)*'Temperature in bundle'!$Q$7)^0.5)/2/(Y35+Z$7)))</f>
        <v/>
      </c>
      <c r="AA35" s="98" t="str">
        <f t="shared" si="16"/>
        <v/>
      </c>
      <c r="AB35" s="101" t="str">
        <f t="shared" si="17"/>
        <v/>
      </c>
    </row>
    <row r="36" spans="1:28">
      <c r="A36" t="str">
        <f t="shared" si="18"/>
        <v/>
      </c>
      <c r="B36" s="113">
        <v>-1.5</v>
      </c>
      <c r="C36" s="113">
        <f>-SQRT(3)/2</f>
        <v>-0.8660254037844386</v>
      </c>
      <c r="D36" s="113">
        <f t="shared" si="1"/>
        <v>1.7320508075688772</v>
      </c>
      <c r="E36" s="113" t="str">
        <f t="shared" si="2"/>
        <v/>
      </c>
      <c r="F36" s="113" t="str">
        <f t="shared" si="3"/>
        <v/>
      </c>
      <c r="G36" s="97" t="str">
        <f t="shared" si="4"/>
        <v/>
      </c>
      <c r="J36" s="116" t="str">
        <f t="shared" si="5"/>
        <v/>
      </c>
      <c r="K36" s="119" t="str">
        <f t="shared" si="6"/>
        <v/>
      </c>
      <c r="L36" s="98" t="str">
        <f t="shared" si="7"/>
        <v/>
      </c>
      <c r="M36" s="101" t="str">
        <f t="shared" si="8"/>
        <v/>
      </c>
      <c r="O36" s="100" t="str">
        <f t="shared" si="9"/>
        <v/>
      </c>
      <c r="P36" s="119" t="str">
        <f>IF('Temperature in bundle'!$P$4="Current = 1A per pair",2,IF($A36="","",('Temperature in bundle'!$Q$6-('Temperature in bundle'!$Q$6^2-4*(O36+P$7)*'Temperature in bundle'!$Q$7)^0.5)/2/(O36+P$7)))</f>
        <v/>
      </c>
      <c r="Q36" s="98" t="str">
        <f t="shared" si="10"/>
        <v/>
      </c>
      <c r="R36" s="101" t="str">
        <f t="shared" si="11"/>
        <v/>
      </c>
      <c r="T36" s="100" t="str">
        <f t="shared" si="12"/>
        <v/>
      </c>
      <c r="U36" s="119" t="str">
        <f>IF('Temperature in bundle'!$P$4="Current = 1A per pair",2,IF($A36="","",('Temperature in bundle'!$Q$6-('Temperature in bundle'!$Q$6^2-4*(T36+U$7)*'Temperature in bundle'!$Q$7)^0.5)/2/(T36+U$7)))</f>
        <v/>
      </c>
      <c r="V36" s="98" t="str">
        <f t="shared" si="13"/>
        <v/>
      </c>
      <c r="W36" s="101" t="str">
        <f t="shared" si="14"/>
        <v/>
      </c>
      <c r="Y36" s="100" t="str">
        <f t="shared" si="15"/>
        <v/>
      </c>
      <c r="Z36" s="119" t="str">
        <f>IF('Temperature in bundle'!$P$4="Current = 1A per pair",2,IF($A36="","",('Temperature in bundle'!$Q$6-('Temperature in bundle'!$Q$6^2-4*(Y36+Z$7)*'Temperature in bundle'!$Q$7)^0.5)/2/(Y36+Z$7)))</f>
        <v/>
      </c>
      <c r="AA36" s="98" t="str">
        <f t="shared" si="16"/>
        <v/>
      </c>
      <c r="AB36" s="101" t="str">
        <f t="shared" si="17"/>
        <v/>
      </c>
    </row>
    <row r="37" spans="1:28">
      <c r="A37" t="str">
        <f t="shared" si="18"/>
        <v/>
      </c>
      <c r="B37" s="113">
        <v>-1</v>
      </c>
      <c r="C37" s="113">
        <f>-SQRT(3)</f>
        <v>-1.7320508075688772</v>
      </c>
      <c r="D37" s="113">
        <f t="shared" si="1"/>
        <v>2</v>
      </c>
      <c r="E37" s="113" t="str">
        <f t="shared" si="2"/>
        <v/>
      </c>
      <c r="F37" s="113" t="str">
        <f t="shared" si="3"/>
        <v/>
      </c>
      <c r="G37" s="97" t="str">
        <f t="shared" si="4"/>
        <v/>
      </c>
      <c r="J37" s="116" t="str">
        <f t="shared" si="5"/>
        <v/>
      </c>
      <c r="K37" s="119" t="str">
        <f t="shared" si="6"/>
        <v/>
      </c>
      <c r="L37" s="98" t="str">
        <f t="shared" si="7"/>
        <v/>
      </c>
      <c r="M37" s="101" t="str">
        <f t="shared" si="8"/>
        <v/>
      </c>
      <c r="O37" s="100" t="str">
        <f t="shared" si="9"/>
        <v/>
      </c>
      <c r="P37" s="119" t="str">
        <f>IF('Temperature in bundle'!$P$4="Current = 1A per pair",2,IF($A37="","",('Temperature in bundle'!$Q$6-('Temperature in bundle'!$Q$6^2-4*(O37+P$7)*'Temperature in bundle'!$Q$7)^0.5)/2/(O37+P$7)))</f>
        <v/>
      </c>
      <c r="Q37" s="98" t="str">
        <f t="shared" si="10"/>
        <v/>
      </c>
      <c r="R37" s="101" t="str">
        <f t="shared" si="11"/>
        <v/>
      </c>
      <c r="T37" s="100" t="str">
        <f t="shared" si="12"/>
        <v/>
      </c>
      <c r="U37" s="119" t="str">
        <f>IF('Temperature in bundle'!$P$4="Current = 1A per pair",2,IF($A37="","",('Temperature in bundle'!$Q$6-('Temperature in bundle'!$Q$6^2-4*(T37+U$7)*'Temperature in bundle'!$Q$7)^0.5)/2/(T37+U$7)))</f>
        <v/>
      </c>
      <c r="V37" s="98" t="str">
        <f t="shared" si="13"/>
        <v/>
      </c>
      <c r="W37" s="101" t="str">
        <f t="shared" si="14"/>
        <v/>
      </c>
      <c r="Y37" s="100" t="str">
        <f t="shared" si="15"/>
        <v/>
      </c>
      <c r="Z37" s="119" t="str">
        <f>IF('Temperature in bundle'!$P$4="Current = 1A per pair",2,IF($A37="","",('Temperature in bundle'!$Q$6-('Temperature in bundle'!$Q$6^2-4*(Y37+Z$7)*'Temperature in bundle'!$Q$7)^0.5)/2/(Y37+Z$7)))</f>
        <v/>
      </c>
      <c r="AA37" s="98" t="str">
        <f t="shared" si="16"/>
        <v/>
      </c>
      <c r="AB37" s="101" t="str">
        <f t="shared" si="17"/>
        <v/>
      </c>
    </row>
    <row r="38" spans="1:28">
      <c r="A38" t="str">
        <f t="shared" si="18"/>
        <v/>
      </c>
      <c r="B38" s="113">
        <v>0</v>
      </c>
      <c r="C38" s="113">
        <f>-SQRT(3)</f>
        <v>-1.7320508075688772</v>
      </c>
      <c r="D38" s="113">
        <f t="shared" si="1"/>
        <v>1.7320508075688772</v>
      </c>
      <c r="E38" s="113" t="str">
        <f t="shared" si="2"/>
        <v/>
      </c>
      <c r="F38" s="113" t="str">
        <f t="shared" si="3"/>
        <v/>
      </c>
      <c r="G38" s="97" t="str">
        <f t="shared" si="4"/>
        <v/>
      </c>
      <c r="J38" s="116" t="str">
        <f t="shared" si="5"/>
        <v/>
      </c>
      <c r="K38" s="119" t="str">
        <f t="shared" si="6"/>
        <v/>
      </c>
      <c r="L38" s="98" t="str">
        <f t="shared" si="7"/>
        <v/>
      </c>
      <c r="M38" s="101" t="str">
        <f t="shared" si="8"/>
        <v/>
      </c>
      <c r="O38" s="100" t="str">
        <f t="shared" si="9"/>
        <v/>
      </c>
      <c r="P38" s="119" t="str">
        <f>IF('Temperature in bundle'!$P$4="Current = 1A per pair",2,IF($A38="","",('Temperature in bundle'!$Q$6-('Temperature in bundle'!$Q$6^2-4*(O38+P$7)*'Temperature in bundle'!$Q$7)^0.5)/2/(O38+P$7)))</f>
        <v/>
      </c>
      <c r="Q38" s="98" t="str">
        <f t="shared" si="10"/>
        <v/>
      </c>
      <c r="R38" s="101" t="str">
        <f t="shared" si="11"/>
        <v/>
      </c>
      <c r="T38" s="100" t="str">
        <f t="shared" si="12"/>
        <v/>
      </c>
      <c r="U38" s="119" t="str">
        <f>IF('Temperature in bundle'!$P$4="Current = 1A per pair",2,IF($A38="","",('Temperature in bundle'!$Q$6-('Temperature in bundle'!$Q$6^2-4*(T38+U$7)*'Temperature in bundle'!$Q$7)^0.5)/2/(T38+U$7)))</f>
        <v/>
      </c>
      <c r="V38" s="98" t="str">
        <f t="shared" si="13"/>
        <v/>
      </c>
      <c r="W38" s="101" t="str">
        <f t="shared" si="14"/>
        <v/>
      </c>
      <c r="Y38" s="100" t="str">
        <f t="shared" si="15"/>
        <v/>
      </c>
      <c r="Z38" s="119" t="str">
        <f>IF('Temperature in bundle'!$P$4="Current = 1A per pair",2,IF($A38="","",('Temperature in bundle'!$Q$6-('Temperature in bundle'!$Q$6^2-4*(Y38+Z$7)*'Temperature in bundle'!$Q$7)^0.5)/2/(Y38+Z$7)))</f>
        <v/>
      </c>
      <c r="AA38" s="98" t="str">
        <f t="shared" si="16"/>
        <v/>
      </c>
      <c r="AB38" s="101" t="str">
        <f t="shared" si="17"/>
        <v/>
      </c>
    </row>
    <row r="39" spans="1:28">
      <c r="A39" t="str">
        <f t="shared" si="18"/>
        <v/>
      </c>
      <c r="B39" s="113">
        <v>1</v>
      </c>
      <c r="C39" s="113">
        <f>-SQRT(3)</f>
        <v>-1.7320508075688772</v>
      </c>
      <c r="D39" s="113">
        <f t="shared" si="1"/>
        <v>2</v>
      </c>
      <c r="E39" s="113" t="str">
        <f t="shared" si="2"/>
        <v/>
      </c>
      <c r="F39" s="113" t="str">
        <f t="shared" si="3"/>
        <v/>
      </c>
      <c r="G39" s="97" t="str">
        <f t="shared" si="4"/>
        <v/>
      </c>
      <c r="J39" s="116" t="str">
        <f t="shared" si="5"/>
        <v/>
      </c>
      <c r="K39" s="119" t="str">
        <f t="shared" si="6"/>
        <v/>
      </c>
      <c r="L39" s="98" t="str">
        <f t="shared" si="7"/>
        <v/>
      </c>
      <c r="M39" s="101" t="str">
        <f t="shared" si="8"/>
        <v/>
      </c>
      <c r="O39" s="100" t="str">
        <f t="shared" si="9"/>
        <v/>
      </c>
      <c r="P39" s="119" t="str">
        <f>IF('Temperature in bundle'!$P$4="Current = 1A per pair",2,IF($A39="","",('Temperature in bundle'!$Q$6-('Temperature in bundle'!$Q$6^2-4*(O39+P$7)*'Temperature in bundle'!$Q$7)^0.5)/2/(O39+P$7)))</f>
        <v/>
      </c>
      <c r="Q39" s="98" t="str">
        <f t="shared" si="10"/>
        <v/>
      </c>
      <c r="R39" s="101" t="str">
        <f t="shared" si="11"/>
        <v/>
      </c>
      <c r="T39" s="100" t="str">
        <f t="shared" si="12"/>
        <v/>
      </c>
      <c r="U39" s="119" t="str">
        <f>IF('Temperature in bundle'!$P$4="Current = 1A per pair",2,IF($A39="","",('Temperature in bundle'!$Q$6-('Temperature in bundle'!$Q$6^2-4*(T39+U$7)*'Temperature in bundle'!$Q$7)^0.5)/2/(T39+U$7)))</f>
        <v/>
      </c>
      <c r="V39" s="98" t="str">
        <f t="shared" si="13"/>
        <v/>
      </c>
      <c r="W39" s="101" t="str">
        <f t="shared" si="14"/>
        <v/>
      </c>
      <c r="Y39" s="100" t="str">
        <f t="shared" si="15"/>
        <v/>
      </c>
      <c r="Z39" s="119" t="str">
        <f>IF('Temperature in bundle'!$P$4="Current = 1A per pair",2,IF($A39="","",('Temperature in bundle'!$Q$6-('Temperature in bundle'!$Q$6^2-4*(Y39+Z$7)*'Temperature in bundle'!$Q$7)^0.5)/2/(Y39+Z$7)))</f>
        <v/>
      </c>
      <c r="AA39" s="98" t="str">
        <f t="shared" si="16"/>
        <v/>
      </c>
      <c r="AB39" s="101" t="str">
        <f t="shared" si="17"/>
        <v/>
      </c>
    </row>
    <row r="40" spans="1:28">
      <c r="A40" t="str">
        <f t="shared" si="18"/>
        <v/>
      </c>
      <c r="B40" s="113">
        <v>2</v>
      </c>
      <c r="C40" s="113">
        <f>-SQRT(3)</f>
        <v>-1.7320508075688772</v>
      </c>
      <c r="D40" s="113">
        <f t="shared" si="1"/>
        <v>2.6457513110645907</v>
      </c>
      <c r="E40" s="113" t="str">
        <f t="shared" si="2"/>
        <v/>
      </c>
      <c r="F40" s="113" t="str">
        <f t="shared" si="3"/>
        <v/>
      </c>
      <c r="G40" s="97" t="str">
        <f t="shared" si="4"/>
        <v/>
      </c>
      <c r="J40" s="116" t="str">
        <f t="shared" si="5"/>
        <v/>
      </c>
      <c r="K40" s="119" t="str">
        <f t="shared" si="6"/>
        <v/>
      </c>
      <c r="L40" s="98" t="str">
        <f t="shared" si="7"/>
        <v/>
      </c>
      <c r="M40" s="101" t="str">
        <f t="shared" si="8"/>
        <v/>
      </c>
      <c r="O40" s="100" t="str">
        <f t="shared" si="9"/>
        <v/>
      </c>
      <c r="P40" s="119" t="str">
        <f>IF('Temperature in bundle'!$P$4="Current = 1A per pair",2,IF($A40="","",('Temperature in bundle'!$Q$6-('Temperature in bundle'!$Q$6^2-4*(O40+P$7)*'Temperature in bundle'!$Q$7)^0.5)/2/(O40+P$7)))</f>
        <v/>
      </c>
      <c r="Q40" s="98" t="str">
        <f t="shared" si="10"/>
        <v/>
      </c>
      <c r="R40" s="101" t="str">
        <f t="shared" si="11"/>
        <v/>
      </c>
      <c r="T40" s="100" t="str">
        <f t="shared" si="12"/>
        <v/>
      </c>
      <c r="U40" s="119" t="str">
        <f>IF('Temperature in bundle'!$P$4="Current = 1A per pair",2,IF($A40="","",('Temperature in bundle'!$Q$6-('Temperature in bundle'!$Q$6^2-4*(T40+U$7)*'Temperature in bundle'!$Q$7)^0.5)/2/(T40+U$7)))</f>
        <v/>
      </c>
      <c r="V40" s="98" t="str">
        <f t="shared" si="13"/>
        <v/>
      </c>
      <c r="W40" s="101" t="str">
        <f t="shared" si="14"/>
        <v/>
      </c>
      <c r="Y40" s="100" t="str">
        <f t="shared" si="15"/>
        <v/>
      </c>
      <c r="Z40" s="119" t="str">
        <f>IF('Temperature in bundle'!$P$4="Current = 1A per pair",2,IF($A40="","",('Temperature in bundle'!$Q$6-('Temperature in bundle'!$Q$6^2-4*(Y40+Z$7)*'Temperature in bundle'!$Q$7)^0.5)/2/(Y40+Z$7)))</f>
        <v/>
      </c>
      <c r="AA40" s="98" t="str">
        <f t="shared" si="16"/>
        <v/>
      </c>
      <c r="AB40" s="101" t="str">
        <f t="shared" si="17"/>
        <v/>
      </c>
    </row>
    <row r="41" spans="1:28">
      <c r="A41" t="str">
        <f t="shared" si="18"/>
        <v/>
      </c>
      <c r="B41" s="113">
        <v>2.5</v>
      </c>
      <c r="C41" s="113">
        <f>-SQRT(3)/2</f>
        <v>-0.8660254037844386</v>
      </c>
      <c r="D41" s="113">
        <f t="shared" si="1"/>
        <v>2.6457513110645907</v>
      </c>
      <c r="E41" s="113" t="str">
        <f t="shared" si="2"/>
        <v/>
      </c>
      <c r="F41" s="113" t="str">
        <f t="shared" si="3"/>
        <v/>
      </c>
      <c r="G41" s="97" t="str">
        <f t="shared" si="4"/>
        <v/>
      </c>
      <c r="J41" s="116" t="str">
        <f t="shared" si="5"/>
        <v/>
      </c>
      <c r="K41" s="119" t="str">
        <f t="shared" si="6"/>
        <v/>
      </c>
      <c r="L41" s="98" t="str">
        <f t="shared" si="7"/>
        <v/>
      </c>
      <c r="M41" s="101" t="str">
        <f t="shared" si="8"/>
        <v/>
      </c>
      <c r="O41" s="100" t="str">
        <f t="shared" si="9"/>
        <v/>
      </c>
      <c r="P41" s="119" t="str">
        <f>IF('Temperature in bundle'!$P$4="Current = 1A per pair",2,IF($A41="","",('Temperature in bundle'!$Q$6-('Temperature in bundle'!$Q$6^2-4*(O41+P$7)*'Temperature in bundle'!$Q$7)^0.5)/2/(O41+P$7)))</f>
        <v/>
      </c>
      <c r="Q41" s="98" t="str">
        <f t="shared" si="10"/>
        <v/>
      </c>
      <c r="R41" s="101" t="str">
        <f t="shared" si="11"/>
        <v/>
      </c>
      <c r="T41" s="100" t="str">
        <f t="shared" si="12"/>
        <v/>
      </c>
      <c r="U41" s="119" t="str">
        <f>IF('Temperature in bundle'!$P$4="Current = 1A per pair",2,IF($A41="","",('Temperature in bundle'!$Q$6-('Temperature in bundle'!$Q$6^2-4*(T41+U$7)*'Temperature in bundle'!$Q$7)^0.5)/2/(T41+U$7)))</f>
        <v/>
      </c>
      <c r="V41" s="98" t="str">
        <f t="shared" si="13"/>
        <v/>
      </c>
      <c r="W41" s="101" t="str">
        <f t="shared" si="14"/>
        <v/>
      </c>
      <c r="Y41" s="100" t="str">
        <f t="shared" si="15"/>
        <v/>
      </c>
      <c r="Z41" s="119" t="str">
        <f>IF('Temperature in bundle'!$P$4="Current = 1A per pair",2,IF($A41="","",('Temperature in bundle'!$Q$6-('Temperature in bundle'!$Q$6^2-4*(Y41+Z$7)*'Temperature in bundle'!$Q$7)^0.5)/2/(Y41+Z$7)))</f>
        <v/>
      </c>
      <c r="AA41" s="98" t="str">
        <f t="shared" si="16"/>
        <v/>
      </c>
      <c r="AB41" s="101" t="str">
        <f t="shared" si="17"/>
        <v/>
      </c>
    </row>
    <row r="42" spans="1:28">
      <c r="A42" t="str">
        <f t="shared" si="18"/>
        <v/>
      </c>
      <c r="B42" s="113">
        <v>3</v>
      </c>
      <c r="C42" s="113">
        <v>0</v>
      </c>
      <c r="D42" s="113">
        <f t="shared" si="1"/>
        <v>3</v>
      </c>
      <c r="E42" s="113" t="str">
        <f t="shared" si="2"/>
        <v/>
      </c>
      <c r="F42" s="113" t="str">
        <f t="shared" si="3"/>
        <v/>
      </c>
      <c r="G42" s="97" t="str">
        <f t="shared" si="4"/>
        <v/>
      </c>
      <c r="J42" s="116" t="str">
        <f t="shared" si="5"/>
        <v/>
      </c>
      <c r="K42" s="119" t="str">
        <f t="shared" si="6"/>
        <v/>
      </c>
      <c r="L42" s="98" t="str">
        <f t="shared" si="7"/>
        <v/>
      </c>
      <c r="M42" s="101" t="str">
        <f t="shared" si="8"/>
        <v/>
      </c>
      <c r="O42" s="100" t="str">
        <f t="shared" si="9"/>
        <v/>
      </c>
      <c r="P42" s="119" t="str">
        <f>IF('Temperature in bundle'!$P$4="Current = 1A per pair",2,IF($A42="","",('Temperature in bundle'!$Q$6-('Temperature in bundle'!$Q$6^2-4*(O42+P$7)*'Temperature in bundle'!$Q$7)^0.5)/2/(O42+P$7)))</f>
        <v/>
      </c>
      <c r="Q42" s="98" t="str">
        <f t="shared" si="10"/>
        <v/>
      </c>
      <c r="R42" s="101" t="str">
        <f t="shared" si="11"/>
        <v/>
      </c>
      <c r="T42" s="100" t="str">
        <f t="shared" si="12"/>
        <v/>
      </c>
      <c r="U42" s="119" t="str">
        <f>IF('Temperature in bundle'!$P$4="Current = 1A per pair",2,IF($A42="","",('Temperature in bundle'!$Q$6-('Temperature in bundle'!$Q$6^2-4*(T42+U$7)*'Temperature in bundle'!$Q$7)^0.5)/2/(T42+U$7)))</f>
        <v/>
      </c>
      <c r="V42" s="98" t="str">
        <f t="shared" si="13"/>
        <v/>
      </c>
      <c r="W42" s="101" t="str">
        <f t="shared" si="14"/>
        <v/>
      </c>
      <c r="Y42" s="100" t="str">
        <f t="shared" si="15"/>
        <v/>
      </c>
      <c r="Z42" s="119" t="str">
        <f>IF('Temperature in bundle'!$P$4="Current = 1A per pair",2,IF($A42="","",('Temperature in bundle'!$Q$6-('Temperature in bundle'!$Q$6^2-4*(Y42+Z$7)*'Temperature in bundle'!$Q$7)^0.5)/2/(Y42+Z$7)))</f>
        <v/>
      </c>
      <c r="AA42" s="98" t="str">
        <f t="shared" si="16"/>
        <v/>
      </c>
      <c r="AB42" s="101" t="str">
        <f t="shared" si="17"/>
        <v/>
      </c>
    </row>
    <row r="43" spans="1:28">
      <c r="A43" t="str">
        <f t="shared" si="18"/>
        <v/>
      </c>
      <c r="B43" s="113">
        <v>2.5</v>
      </c>
      <c r="C43" s="113">
        <f>SQRT(3)/2</f>
        <v>0.8660254037844386</v>
      </c>
      <c r="D43" s="113">
        <f t="shared" si="1"/>
        <v>2.6457513110645907</v>
      </c>
      <c r="E43" s="113" t="str">
        <f t="shared" si="2"/>
        <v/>
      </c>
      <c r="F43" s="113" t="str">
        <f t="shared" si="3"/>
        <v/>
      </c>
      <c r="G43" s="97" t="str">
        <f t="shared" si="4"/>
        <v/>
      </c>
      <c r="J43" s="116" t="str">
        <f t="shared" si="5"/>
        <v/>
      </c>
      <c r="K43" s="119" t="str">
        <f t="shared" si="6"/>
        <v/>
      </c>
      <c r="L43" s="98" t="str">
        <f t="shared" si="7"/>
        <v/>
      </c>
      <c r="M43" s="101" t="str">
        <f t="shared" si="8"/>
        <v/>
      </c>
      <c r="O43" s="100" t="str">
        <f t="shared" si="9"/>
        <v/>
      </c>
      <c r="P43" s="119" t="str">
        <f>IF('Temperature in bundle'!$P$4="Current = 1A per pair",2,IF($A43="","",('Temperature in bundle'!$Q$6-('Temperature in bundle'!$Q$6^2-4*(O43+P$7)*'Temperature in bundle'!$Q$7)^0.5)/2/(O43+P$7)))</f>
        <v/>
      </c>
      <c r="Q43" s="98" t="str">
        <f t="shared" si="10"/>
        <v/>
      </c>
      <c r="R43" s="101" t="str">
        <f t="shared" si="11"/>
        <v/>
      </c>
      <c r="T43" s="100" t="str">
        <f t="shared" si="12"/>
        <v/>
      </c>
      <c r="U43" s="119" t="str">
        <f>IF('Temperature in bundle'!$P$4="Current = 1A per pair",2,IF($A43="","",('Temperature in bundle'!$Q$6-('Temperature in bundle'!$Q$6^2-4*(T43+U$7)*'Temperature in bundle'!$Q$7)^0.5)/2/(T43+U$7)))</f>
        <v/>
      </c>
      <c r="V43" s="98" t="str">
        <f t="shared" si="13"/>
        <v/>
      </c>
      <c r="W43" s="101" t="str">
        <f t="shared" si="14"/>
        <v/>
      </c>
      <c r="Y43" s="100" t="str">
        <f t="shared" si="15"/>
        <v/>
      </c>
      <c r="Z43" s="119" t="str">
        <f>IF('Temperature in bundle'!$P$4="Current = 1A per pair",2,IF($A43="","",('Temperature in bundle'!$Q$6-('Temperature in bundle'!$Q$6^2-4*(Y43+Z$7)*'Temperature in bundle'!$Q$7)^0.5)/2/(Y43+Z$7)))</f>
        <v/>
      </c>
      <c r="AA43" s="98" t="str">
        <f t="shared" si="16"/>
        <v/>
      </c>
      <c r="AB43" s="101" t="str">
        <f t="shared" si="17"/>
        <v/>
      </c>
    </row>
    <row r="44" spans="1:28">
      <c r="A44" t="str">
        <f t="shared" si="18"/>
        <v/>
      </c>
      <c r="B44" s="113">
        <v>2</v>
      </c>
      <c r="C44" s="113">
        <f>SQRT(3)</f>
        <v>1.7320508075688772</v>
      </c>
      <c r="D44" s="113">
        <f t="shared" si="1"/>
        <v>2.6457513110645907</v>
      </c>
      <c r="E44" s="113" t="str">
        <f t="shared" si="2"/>
        <v/>
      </c>
      <c r="F44" s="113" t="str">
        <f t="shared" si="3"/>
        <v/>
      </c>
      <c r="G44" s="97" t="str">
        <f t="shared" si="4"/>
        <v/>
      </c>
      <c r="J44" s="116" t="str">
        <f t="shared" si="5"/>
        <v/>
      </c>
      <c r="K44" s="119" t="str">
        <f t="shared" si="6"/>
        <v/>
      </c>
      <c r="L44" s="98" t="str">
        <f t="shared" si="7"/>
        <v/>
      </c>
      <c r="M44" s="101" t="str">
        <f t="shared" si="8"/>
        <v/>
      </c>
      <c r="O44" s="100" t="str">
        <f t="shared" si="9"/>
        <v/>
      </c>
      <c r="P44" s="119" t="str">
        <f>IF('Temperature in bundle'!$P$4="Current = 1A per pair",2,IF($A44="","",('Temperature in bundle'!$Q$6-('Temperature in bundle'!$Q$6^2-4*(O44+P$7)*'Temperature in bundle'!$Q$7)^0.5)/2/(O44+P$7)))</f>
        <v/>
      </c>
      <c r="Q44" s="98" t="str">
        <f t="shared" si="10"/>
        <v/>
      </c>
      <c r="R44" s="101" t="str">
        <f t="shared" si="11"/>
        <v/>
      </c>
      <c r="T44" s="100" t="str">
        <f t="shared" si="12"/>
        <v/>
      </c>
      <c r="U44" s="119" t="str">
        <f>IF('Temperature in bundle'!$P$4="Current = 1A per pair",2,IF($A44="","",('Temperature in bundle'!$Q$6-('Temperature in bundle'!$Q$6^2-4*(T44+U$7)*'Temperature in bundle'!$Q$7)^0.5)/2/(T44+U$7)))</f>
        <v/>
      </c>
      <c r="V44" s="98" t="str">
        <f t="shared" si="13"/>
        <v/>
      </c>
      <c r="W44" s="101" t="str">
        <f t="shared" si="14"/>
        <v/>
      </c>
      <c r="Y44" s="100" t="str">
        <f t="shared" si="15"/>
        <v/>
      </c>
      <c r="Z44" s="119" t="str">
        <f>IF('Temperature in bundle'!$P$4="Current = 1A per pair",2,IF($A44="","",('Temperature in bundle'!$Q$6-('Temperature in bundle'!$Q$6^2-4*(Y44+Z$7)*'Temperature in bundle'!$Q$7)^0.5)/2/(Y44+Z$7)))</f>
        <v/>
      </c>
      <c r="AA44" s="98" t="str">
        <f t="shared" si="16"/>
        <v/>
      </c>
      <c r="AB44" s="101" t="str">
        <f t="shared" si="17"/>
        <v/>
      </c>
    </row>
    <row r="45" spans="1:28">
      <c r="P45" s="144"/>
      <c r="U45" s="144"/>
      <c r="Z45" s="144"/>
    </row>
    <row r="46" spans="1:28">
      <c r="A46" t="s">
        <v>300</v>
      </c>
      <c r="B46" s="67" t="s">
        <v>261</v>
      </c>
      <c r="C46" s="67" t="s">
        <v>262</v>
      </c>
      <c r="D46" s="67" t="s">
        <v>263</v>
      </c>
      <c r="E46" s="99"/>
      <c r="F46" s="99"/>
      <c r="G46" s="99"/>
      <c r="P46" s="144"/>
      <c r="U46" s="144"/>
      <c r="Z46" s="144"/>
    </row>
    <row r="47" spans="1:28">
      <c r="A47">
        <v>1</v>
      </c>
      <c r="B47" s="97">
        <v>0</v>
      </c>
      <c r="C47" s="97">
        <v>0</v>
      </c>
      <c r="D47" s="97">
        <f>(B47^2+C47^2)^0.5</f>
        <v>0</v>
      </c>
      <c r="E47" s="97">
        <f>IF($A47="","",B47)</f>
        <v>0</v>
      </c>
      <c r="F47" s="97">
        <f>IF($A47="","",C47)</f>
        <v>0</v>
      </c>
      <c r="G47" s="97"/>
      <c r="J47" s="116">
        <f>IF($A47="","",$G$10)</f>
        <v>0.22284244248680671</v>
      </c>
      <c r="K47" s="119">
        <f t="shared" ref="K47" si="19">IF($A47="","",$C$12)</f>
        <v>0.51453105392986931</v>
      </c>
      <c r="L47" s="98">
        <f t="shared" ref="L47" si="20">IF($A47="","",J47*K47^2)</f>
        <v>5.8995799693645302E-2</v>
      </c>
      <c r="M47" s="101">
        <f>IF($A47="","",M$3+M$4*(1-3.63*$G47^2/$G$15))</f>
        <v>0.16168469090255844</v>
      </c>
      <c r="O47" s="100">
        <f>IF($A47="","",$J47*(1+0.0039*M47))</f>
        <v>0.22298296031139717</v>
      </c>
      <c r="P47" s="119">
        <f>IF('Temperature in bundle'!$P$4="Current = 1A per pair",2,IF($A47="","",('Temperature in bundle'!$Q$6-('Temperature in bundle'!$Q$6^2-4*(O47+R$7)*'Temperature in bundle'!$Q$7)^0.5)/2/(O47+R$7)))</f>
        <v>0.51454920078060007</v>
      </c>
      <c r="Q47" s="98">
        <f t="shared" ref="Q47" si="21">IF($A47="","",O47*P47^2)</f>
        <v>5.9037164802391982E-2</v>
      </c>
      <c r="R47" s="101">
        <f>IF($A47="","",R$3+R$4*(1-3.63*$G47^2/$G$15))</f>
        <v>0.16179805668209846</v>
      </c>
      <c r="T47" s="100">
        <f>IF($A47="","",$J47*(1+0.0039*R47))</f>
        <v>0.22298305883595529</v>
      </c>
      <c r="U47" s="119">
        <f>IF('Temperature in bundle'!$P$4="Current = 1A per pair",2,IF($A47="","",('Temperature in bundle'!$Q$6-('Temperature in bundle'!$Q$6^2-4*(T47+W$7)*'Temperature in bundle'!$Q$7)^0.5)/2/(T47+W$7)))</f>
        <v>0.51454922686387894</v>
      </c>
      <c r="V47" s="98">
        <f t="shared" ref="V47" si="22">IF($A47="","",T47*U47^2)</f>
        <v>5.9037196873210226E-2</v>
      </c>
      <c r="W47" s="101">
        <f>IF($A47="","",W$3+W$4*(1-3.63*$G47^2/$G$15))</f>
        <v>0.16179814457581909</v>
      </c>
      <c r="Y47" s="100">
        <f>IF($A47="","",$J47*(1+0.0039*W47))</f>
        <v>0.22298305891234241</v>
      </c>
      <c r="Z47" s="119">
        <f>IF('Temperature in bundle'!$P$4="Current = 1A per pair",2,IF($A47="","",('Temperature in bundle'!$Q$6-('Temperature in bundle'!$Q$6^2-4*(Y47+AB$7)*'Temperature in bundle'!$Q$7)^0.5)/2/(Y47+AB$7)))</f>
        <v>0.51454922690427463</v>
      </c>
      <c r="AA47" s="98">
        <f t="shared" ref="AA47" si="23">IF($A47="","",Y47*Z47^2)</f>
        <v>5.9037196902704203E-2</v>
      </c>
      <c r="AB47" s="101">
        <f>IF($A47="","",AB$3+AB$4*(1-3.63*$G47^2/$G$15))</f>
        <v>0.16179814465665066</v>
      </c>
    </row>
    <row r="48" spans="1:28">
      <c r="P48" s="144"/>
      <c r="U48" s="144"/>
      <c r="Z48" s="144"/>
    </row>
    <row r="49" spans="1:28">
      <c r="P49" s="144"/>
      <c r="U49" s="144"/>
      <c r="Z49" s="144"/>
    </row>
    <row r="50" spans="1:28">
      <c r="A50" t="s">
        <v>260</v>
      </c>
      <c r="B50" s="67" t="s">
        <v>261</v>
      </c>
      <c r="C50" s="67" t="s">
        <v>262</v>
      </c>
      <c r="D50" s="67" t="s">
        <v>263</v>
      </c>
      <c r="E50" s="99">
        <f>AVERAGE(E51:E249)</f>
        <v>0.5</v>
      </c>
      <c r="F50" s="99">
        <f>AVERAGE(F51:F249)</f>
        <v>0.28867513459481287</v>
      </c>
      <c r="P50" s="144"/>
      <c r="U50" s="144"/>
      <c r="Z50" s="144"/>
    </row>
    <row r="51" spans="1:28">
      <c r="A51">
        <v>1</v>
      </c>
      <c r="B51" s="113">
        <v>0</v>
      </c>
      <c r="C51" s="113">
        <v>0</v>
      </c>
      <c r="D51" s="113">
        <f>(B51^2+C51^2)^0.5</f>
        <v>0</v>
      </c>
      <c r="E51" s="113">
        <f>IF($A51="","",B51)</f>
        <v>0</v>
      </c>
      <c r="F51" s="113">
        <f>IF($A51="","",C51)</f>
        <v>0</v>
      </c>
      <c r="G51" s="113">
        <f>IF(A51="","",((E$50-E51)^2+(F$50-F51)^2)^0.5)</f>
        <v>0.57735026918962573</v>
      </c>
      <c r="J51" s="116">
        <f>IF($A51="","",$E$10)</f>
        <v>2.0986931609674486</v>
      </c>
      <c r="K51" s="119">
        <f t="shared" ref="K51:K114" si="24">IF($A51="","",$C$12)</f>
        <v>0.51453105392986931</v>
      </c>
      <c r="L51" s="98">
        <f t="shared" ref="L51:L114" si="25">IF($A51="","",J51*K51^2)</f>
        <v>0.55561265601452581</v>
      </c>
      <c r="M51" s="101">
        <f>IF($A51="","",L$3+L$4*(1-3.63*$G51^2/$E$15))</f>
        <v>0.37841417479884482</v>
      </c>
      <c r="O51" s="100">
        <f t="shared" ref="O51:O114" si="26">IF($A51="","",$J51*(1+0.0039*M51))</f>
        <v>2.1017904444060362</v>
      </c>
      <c r="P51" s="119">
        <f>IF('Temperature in bundle'!$P$4="Current = 1A per pair",2,IF($A51="","",('Temperature in bundle'!$Q$6-('Temperature in bundle'!$Q$6^2-4*(O51+Q$7)*'Temperature in bundle'!$Q$7)^0.5)/2/(O51+Q$7)))</f>
        <v>0.51455204481397088</v>
      </c>
      <c r="Q51" s="98">
        <f t="shared" ref="Q51:Q114" si="27">IF($A51="","",O51*P51^2)</f>
        <v>0.55647803920354699</v>
      </c>
      <c r="R51" s="101">
        <f>IF($A51="","",Q$3+Q$4*(1-3.63*$G51^2/$E$15))</f>
        <v>0.37890800478298137</v>
      </c>
      <c r="T51" s="100">
        <f t="shared" ref="T51:T114" si="28">IF($A51="","",$J51*(1+0.0039*R51))</f>
        <v>2.1017944863567166</v>
      </c>
      <c r="U51" s="119">
        <f>IF('Temperature in bundle'!$P$4="Current = 1A per pair",2,IF($A51="","",('Temperature in bundle'!$Q$6-('Temperature in bundle'!$Q$6^2-4*(T51+V$7)*'Temperature in bundle'!$Q$7)^0.5)/2/(T51+V$7)))</f>
        <v>0.51455207460933527</v>
      </c>
      <c r="V51" s="98">
        <f t="shared" ref="V51:V114" si="29">IF($A51="","",T51*U51^2)</f>
        <v>0.5564791738121373</v>
      </c>
      <c r="W51" s="101">
        <f>IF($A51="","",V$3+V$4*(1-3.63*$G51^2/$E$15))</f>
        <v>0.37890865281173547</v>
      </c>
      <c r="Y51" s="100">
        <f t="shared" ref="Y51:Y114" si="30">IF($A51="","",$J51*(1+0.0039*W51))</f>
        <v>2.1017944916607698</v>
      </c>
      <c r="Z51" s="119">
        <f>IF('Temperature in bundle'!$P$4="Current = 1A per pair",2,IF($A51="","",('Temperature in bundle'!$Q$6-('Temperature in bundle'!$Q$6^2-4*(Y51+AA$7)*'Temperature in bundle'!$Q$7)^0.5)/2/(Y51+AA$7)))</f>
        <v>0.51455207465460262</v>
      </c>
      <c r="AA51" s="98">
        <f t="shared" ref="AA51:AA114" si="31">IF($A51="","",Y51*Z51^2)</f>
        <v>0.55647917531437052</v>
      </c>
      <c r="AB51" s="101">
        <f>IF($A51="","",AA$3+AA$4*(1-3.63*$G51^2/$E$15))</f>
        <v>0.37890865367119431</v>
      </c>
    </row>
    <row r="52" spans="1:28">
      <c r="A52">
        <f>IF(A51&lt;E$15,A51+1,"")</f>
        <v>2</v>
      </c>
      <c r="B52" s="113">
        <v>1</v>
      </c>
      <c r="C52" s="113">
        <v>0</v>
      </c>
      <c r="D52" s="113">
        <f>(B52^2+C52^2)^0.5</f>
        <v>1</v>
      </c>
      <c r="E52" s="113">
        <f t="shared" ref="E52:F115" si="32">IF($A52="","",B52)</f>
        <v>1</v>
      </c>
      <c r="F52" s="113">
        <f t="shared" si="32"/>
        <v>0</v>
      </c>
      <c r="G52" s="113">
        <f>IF(A52="","",((E$50-E52)^2+(F$50-F52)^2)^0.5)</f>
        <v>0.57735026918962573</v>
      </c>
      <c r="J52" s="116">
        <f t="shared" ref="J52:J115" si="33">IF($A52="","",$E$10)</f>
        <v>2.0986931609674486</v>
      </c>
      <c r="K52" s="119">
        <f t="shared" si="24"/>
        <v>0.51453105392986931</v>
      </c>
      <c r="L52" s="98">
        <f t="shared" si="25"/>
        <v>0.55561265601452581</v>
      </c>
      <c r="M52" s="101">
        <f t="shared" ref="M52:M115" si="34">IF($A52="","",L$3+L$4*(1-3.63*$G52^2/$E$15))</f>
        <v>0.37841417479884482</v>
      </c>
      <c r="O52" s="100">
        <f t="shared" si="26"/>
        <v>2.1017904444060362</v>
      </c>
      <c r="P52" s="119">
        <f>IF('Temperature in bundle'!$P$4="Current = 1A per pair",2,IF($A52="","",('Temperature in bundle'!$Q$6-('Temperature in bundle'!$Q$6^2-4*(O52+Q$7)*'Temperature in bundle'!$Q$7)^0.5)/2/(O52+Q$7)))</f>
        <v>0.51455204481397088</v>
      </c>
      <c r="Q52" s="98">
        <f t="shared" si="27"/>
        <v>0.55647803920354699</v>
      </c>
      <c r="R52" s="101">
        <f t="shared" ref="R52:R115" si="35">IF($A52="","",Q$3+Q$4*(1-3.63*$G52^2/$E$15))</f>
        <v>0.37890800478298137</v>
      </c>
      <c r="T52" s="100">
        <f t="shared" si="28"/>
        <v>2.1017944863567166</v>
      </c>
      <c r="U52" s="119">
        <f>IF('Temperature in bundle'!$P$4="Current = 1A per pair",2,IF($A52="","",('Temperature in bundle'!$Q$6-('Temperature in bundle'!$Q$6^2-4*(T52+V$7)*'Temperature in bundle'!$Q$7)^0.5)/2/(T52+V$7)))</f>
        <v>0.51455207460933527</v>
      </c>
      <c r="V52" s="98">
        <f t="shared" si="29"/>
        <v>0.5564791738121373</v>
      </c>
      <c r="W52" s="101">
        <f t="shared" ref="W52:W115" si="36">IF($A52="","",V$3+V$4*(1-3.63*$G52^2/$E$15))</f>
        <v>0.37890865281173547</v>
      </c>
      <c r="Y52" s="100">
        <f t="shared" si="30"/>
        <v>2.1017944916607698</v>
      </c>
      <c r="Z52" s="119">
        <f>IF('Temperature in bundle'!$P$4="Current = 1A per pair",2,IF($A52="","",('Temperature in bundle'!$Q$6-('Temperature in bundle'!$Q$6^2-4*(Y52+AA$7)*'Temperature in bundle'!$Q$7)^0.5)/2/(Y52+AA$7)))</f>
        <v>0.51455207465460262</v>
      </c>
      <c r="AA52" s="98">
        <f t="shared" si="31"/>
        <v>0.55647917531437052</v>
      </c>
      <c r="AB52" s="101">
        <f t="shared" ref="AB52:AB115" si="37">IF($A52="","",AA$3+AA$4*(1-3.63*$G52^2/$E$15))</f>
        <v>0.37890865367119431</v>
      </c>
    </row>
    <row r="53" spans="1:28">
      <c r="A53">
        <f t="shared" ref="A53:A116" si="38">IF(A52&lt;E$15,A52+1,"")</f>
        <v>3</v>
      </c>
      <c r="B53" s="113">
        <v>0.5</v>
      </c>
      <c r="C53" s="113">
        <f>SQRT(3)/2</f>
        <v>0.8660254037844386</v>
      </c>
      <c r="D53" s="113">
        <f>(B53^2+C53^2)^0.5</f>
        <v>1</v>
      </c>
      <c r="E53" s="113">
        <f t="shared" si="32"/>
        <v>0.5</v>
      </c>
      <c r="F53" s="113">
        <f t="shared" si="32"/>
        <v>0.8660254037844386</v>
      </c>
      <c r="G53" s="113">
        <f t="shared" ref="G53:G116" si="39">IF(A53="","",((E$50-E53)^2+(F$50-F53)^2)^0.5)</f>
        <v>0.57735026918962573</v>
      </c>
      <c r="J53" s="116">
        <f t="shared" si="33"/>
        <v>2.0986931609674486</v>
      </c>
      <c r="K53" s="119">
        <f t="shared" si="24"/>
        <v>0.51453105392986931</v>
      </c>
      <c r="L53" s="98">
        <f t="shared" si="25"/>
        <v>0.55561265601452581</v>
      </c>
      <c r="M53" s="101">
        <f t="shared" si="34"/>
        <v>0.37841417479884482</v>
      </c>
      <c r="O53" s="100">
        <f t="shared" si="26"/>
        <v>2.1017904444060362</v>
      </c>
      <c r="P53" s="119">
        <f>IF('Temperature in bundle'!$P$4="Current = 1A per pair",2,IF($A53="","",('Temperature in bundle'!$Q$6-('Temperature in bundle'!$Q$6^2-4*(O53+Q$7)*'Temperature in bundle'!$Q$7)^0.5)/2/(O53+Q$7)))</f>
        <v>0.51455204481397088</v>
      </c>
      <c r="Q53" s="98">
        <f t="shared" si="27"/>
        <v>0.55647803920354699</v>
      </c>
      <c r="R53" s="101">
        <f t="shared" si="35"/>
        <v>0.37890800478298137</v>
      </c>
      <c r="T53" s="100">
        <f t="shared" si="28"/>
        <v>2.1017944863567166</v>
      </c>
      <c r="U53" s="119">
        <f>IF('Temperature in bundle'!$P$4="Current = 1A per pair",2,IF($A53="","",('Temperature in bundle'!$Q$6-('Temperature in bundle'!$Q$6^2-4*(T53+V$7)*'Temperature in bundle'!$Q$7)^0.5)/2/(T53+V$7)))</f>
        <v>0.51455207460933527</v>
      </c>
      <c r="V53" s="98">
        <f t="shared" si="29"/>
        <v>0.5564791738121373</v>
      </c>
      <c r="W53" s="101">
        <f t="shared" si="36"/>
        <v>0.37890865281173547</v>
      </c>
      <c r="Y53" s="100">
        <f t="shared" si="30"/>
        <v>2.1017944916607698</v>
      </c>
      <c r="Z53" s="119">
        <f>IF('Temperature in bundle'!$P$4="Current = 1A per pair",2,IF($A53="","",('Temperature in bundle'!$Q$6-('Temperature in bundle'!$Q$6^2-4*(Y53+AA$7)*'Temperature in bundle'!$Q$7)^0.5)/2/(Y53+AA$7)))</f>
        <v>0.51455207465460262</v>
      </c>
      <c r="AA53" s="98">
        <f t="shared" si="31"/>
        <v>0.55647917531437052</v>
      </c>
      <c r="AB53" s="101">
        <f t="shared" si="37"/>
        <v>0.37890865367119431</v>
      </c>
    </row>
    <row r="54" spans="1:28">
      <c r="A54">
        <f t="shared" si="38"/>
        <v>4</v>
      </c>
      <c r="B54" s="113">
        <v>-0.5</v>
      </c>
      <c r="C54" s="113">
        <f>SQRT(3)/2</f>
        <v>0.8660254037844386</v>
      </c>
      <c r="D54" s="113">
        <f t="shared" ref="D54:D117" si="40">(B54^2+C54^2)^0.5</f>
        <v>1</v>
      </c>
      <c r="E54" s="113">
        <f t="shared" si="32"/>
        <v>-0.5</v>
      </c>
      <c r="F54" s="113">
        <f t="shared" si="32"/>
        <v>0.8660254037844386</v>
      </c>
      <c r="G54" s="113">
        <f t="shared" si="39"/>
        <v>1.1547005383792515</v>
      </c>
      <c r="J54" s="116">
        <f t="shared" si="33"/>
        <v>2.0986931609674486</v>
      </c>
      <c r="K54" s="119">
        <f t="shared" si="24"/>
        <v>0.51453105392986931</v>
      </c>
      <c r="L54" s="98">
        <f t="shared" si="25"/>
        <v>0.55561265601452581</v>
      </c>
      <c r="M54" s="101">
        <f t="shared" si="34"/>
        <v>0.36850880385296653</v>
      </c>
      <c r="O54" s="100">
        <f t="shared" si="26"/>
        <v>2.1017093699024181</v>
      </c>
      <c r="P54" s="119">
        <f>IF('Temperature in bundle'!$P$4="Current = 1A per pair",2,IF($A54="","",('Temperature in bundle'!$Q$6-('Temperature in bundle'!$Q$6^2-4*(O54+Q$7)*'Temperature in bundle'!$Q$7)^0.5)/2/(O54+Q$7)))</f>
        <v>0.51455158976434234</v>
      </c>
      <c r="Q54" s="98">
        <f t="shared" si="27"/>
        <v>0.5564555893930706</v>
      </c>
      <c r="R54" s="101">
        <f t="shared" si="35"/>
        <v>0.36898970734147252</v>
      </c>
      <c r="T54" s="100">
        <f t="shared" si="28"/>
        <v>2.1017133060509821</v>
      </c>
      <c r="U54" s="119">
        <f>IF('Temperature in bundle'!$P$4="Current = 1A per pair",2,IF($A54="","",('Temperature in bundle'!$Q$6-('Temperature in bundle'!$Q$6^2-4*(T54+V$7)*'Temperature in bundle'!$Q$7)^0.5)/2/(T54+V$7)))</f>
        <v>0.51455161896576329</v>
      </c>
      <c r="V54" s="98">
        <f t="shared" si="29"/>
        <v>0.55645669470007186</v>
      </c>
      <c r="W54" s="101">
        <f t="shared" si="36"/>
        <v>0.3689903384074234</v>
      </c>
      <c r="Y54" s="100">
        <f t="shared" si="30"/>
        <v>2.1017133112161956</v>
      </c>
      <c r="Z54" s="119">
        <f>IF('Temperature in bundle'!$P$4="Current = 1A per pair",2,IF($A54="","",('Temperature in bundle'!$Q$6-('Temperature in bundle'!$Q$6^2-4*(Y54+AA$7)*'Temperature in bundle'!$Q$7)^0.5)/2/(Y54+AA$7)))</f>
        <v>0.51455161901024937</v>
      </c>
      <c r="AA54" s="98">
        <f t="shared" si="31"/>
        <v>0.5564566961638493</v>
      </c>
      <c r="AB54" s="101">
        <f t="shared" si="37"/>
        <v>0.36899033924438507</v>
      </c>
    </row>
    <row r="55" spans="1:28">
      <c r="A55">
        <f t="shared" si="38"/>
        <v>5</v>
      </c>
      <c r="B55" s="113">
        <v>-1</v>
      </c>
      <c r="C55" s="113">
        <v>0</v>
      </c>
      <c r="D55" s="113">
        <f t="shared" si="40"/>
        <v>1</v>
      </c>
      <c r="E55" s="113">
        <f t="shared" si="32"/>
        <v>-1</v>
      </c>
      <c r="F55" s="113">
        <f t="shared" si="32"/>
        <v>0</v>
      </c>
      <c r="G55" s="113">
        <f t="shared" si="39"/>
        <v>1.5275252316519468</v>
      </c>
      <c r="J55" s="116">
        <f t="shared" si="33"/>
        <v>2.0986931609674486</v>
      </c>
      <c r="K55" s="119">
        <f t="shared" si="24"/>
        <v>0.51453105392986931</v>
      </c>
      <c r="L55" s="98">
        <f t="shared" si="25"/>
        <v>0.55561265601452581</v>
      </c>
      <c r="M55" s="101">
        <f t="shared" si="34"/>
        <v>0.35860343290708824</v>
      </c>
      <c r="O55" s="100">
        <f t="shared" si="26"/>
        <v>2.1016282953988008</v>
      </c>
      <c r="P55" s="119">
        <f>IF('Temperature in bundle'!$P$4="Current = 1A per pair",2,IF($A55="","",('Temperature in bundle'!$Q$6-('Temperature in bundle'!$Q$6^2-4*(O55+Q$7)*'Temperature in bundle'!$Q$7)^0.5)/2/(O55+Q$7)))</f>
        <v>0.51455113471634795</v>
      </c>
      <c r="Q55" s="98">
        <f t="shared" si="27"/>
        <v>0.55643313966293229</v>
      </c>
      <c r="R55" s="101">
        <f t="shared" si="35"/>
        <v>0.35907140989996372</v>
      </c>
      <c r="T55" s="100">
        <f t="shared" si="28"/>
        <v>2.101632125745247</v>
      </c>
      <c r="U55" s="119">
        <f>IF('Temperature in bundle'!$P$4="Current = 1A per pair",2,IF($A55="","",('Temperature in bundle'!$Q$6-('Temperature in bundle'!$Q$6^2-4*(T55+V$7)*'Temperature in bundle'!$Q$7)^0.5)/2/(T55+V$7)))</f>
        <v>0.51455116332382667</v>
      </c>
      <c r="V55" s="98">
        <f t="shared" si="29"/>
        <v>0.55643421566854756</v>
      </c>
      <c r="W55" s="101">
        <f t="shared" si="36"/>
        <v>0.35907202400311133</v>
      </c>
      <c r="Y55" s="100">
        <f t="shared" si="30"/>
        <v>2.1016321307716219</v>
      </c>
      <c r="Z55" s="119">
        <f>IF('Temperature in bundle'!$P$4="Current = 1A per pair",2,IF($A55="","",('Temperature in bundle'!$Q$6-('Temperature in bundle'!$Q$6^2-4*(Y55+AA$7)*'Temperature in bundle'!$Q$7)^0.5)/2/(Y55+AA$7)))</f>
        <v>0.51455116336753515</v>
      </c>
      <c r="AA55" s="98">
        <f t="shared" si="31"/>
        <v>0.55643421709387764</v>
      </c>
      <c r="AB55" s="101">
        <f t="shared" si="37"/>
        <v>0.35907202481757583</v>
      </c>
    </row>
    <row r="56" spans="1:28">
      <c r="A56">
        <f t="shared" si="38"/>
        <v>6</v>
      </c>
      <c r="B56" s="113">
        <v>-0.5</v>
      </c>
      <c r="C56" s="113">
        <f>-SQRT(3)/2</f>
        <v>-0.8660254037844386</v>
      </c>
      <c r="D56" s="113">
        <f t="shared" si="40"/>
        <v>1</v>
      </c>
      <c r="E56" s="113">
        <f t="shared" si="32"/>
        <v>-0.5</v>
      </c>
      <c r="F56" s="113">
        <f t="shared" si="32"/>
        <v>-0.8660254037844386</v>
      </c>
      <c r="G56" s="113">
        <f t="shared" si="39"/>
        <v>1.5275252316519465</v>
      </c>
      <c r="J56" s="116">
        <f t="shared" si="33"/>
        <v>2.0986931609674486</v>
      </c>
      <c r="K56" s="119">
        <f t="shared" si="24"/>
        <v>0.51453105392986931</v>
      </c>
      <c r="L56" s="98">
        <f t="shared" si="25"/>
        <v>0.55561265601452581</v>
      </c>
      <c r="M56" s="101">
        <f t="shared" si="34"/>
        <v>0.35860343290708829</v>
      </c>
      <c r="O56" s="100">
        <f t="shared" si="26"/>
        <v>2.1016282953988008</v>
      </c>
      <c r="P56" s="119">
        <f>IF('Temperature in bundle'!$P$4="Current = 1A per pair",2,IF($A56="","",('Temperature in bundle'!$Q$6-('Temperature in bundle'!$Q$6^2-4*(O56+Q$7)*'Temperature in bundle'!$Q$7)^0.5)/2/(O56+Q$7)))</f>
        <v>0.51455113471634795</v>
      </c>
      <c r="Q56" s="98">
        <f t="shared" si="27"/>
        <v>0.55643313966293229</v>
      </c>
      <c r="R56" s="101">
        <f t="shared" si="35"/>
        <v>0.35907140989996372</v>
      </c>
      <c r="T56" s="100">
        <f t="shared" si="28"/>
        <v>2.101632125745247</v>
      </c>
      <c r="U56" s="119">
        <f>IF('Temperature in bundle'!$P$4="Current = 1A per pair",2,IF($A56="","",('Temperature in bundle'!$Q$6-('Temperature in bundle'!$Q$6^2-4*(T56+V$7)*'Temperature in bundle'!$Q$7)^0.5)/2/(T56+V$7)))</f>
        <v>0.51455116332382667</v>
      </c>
      <c r="V56" s="98">
        <f t="shared" si="29"/>
        <v>0.55643421566854756</v>
      </c>
      <c r="W56" s="101">
        <f t="shared" si="36"/>
        <v>0.35907202400311133</v>
      </c>
      <c r="Y56" s="100">
        <f t="shared" si="30"/>
        <v>2.1016321307716219</v>
      </c>
      <c r="Z56" s="119">
        <f>IF('Temperature in bundle'!$P$4="Current = 1A per pair",2,IF($A56="","",('Temperature in bundle'!$Q$6-('Temperature in bundle'!$Q$6^2-4*(Y56+AA$7)*'Temperature in bundle'!$Q$7)^0.5)/2/(Y56+AA$7)))</f>
        <v>0.51455116336753515</v>
      </c>
      <c r="AA56" s="98">
        <f t="shared" si="31"/>
        <v>0.55643421709387764</v>
      </c>
      <c r="AB56" s="101">
        <f t="shared" si="37"/>
        <v>0.35907202481757583</v>
      </c>
    </row>
    <row r="57" spans="1:28">
      <c r="A57">
        <f t="shared" si="38"/>
        <v>7</v>
      </c>
      <c r="B57" s="113">
        <v>0.5</v>
      </c>
      <c r="C57" s="113">
        <f>-SQRT(3)/2</f>
        <v>-0.8660254037844386</v>
      </c>
      <c r="D57" s="113">
        <f t="shared" si="40"/>
        <v>1</v>
      </c>
      <c r="E57" s="113">
        <f t="shared" si="32"/>
        <v>0.5</v>
      </c>
      <c r="F57" s="113">
        <f t="shared" si="32"/>
        <v>-0.8660254037844386</v>
      </c>
      <c r="G57" s="113">
        <f t="shared" si="39"/>
        <v>1.1547005383792515</v>
      </c>
      <c r="J57" s="116">
        <f t="shared" si="33"/>
        <v>2.0986931609674486</v>
      </c>
      <c r="K57" s="119">
        <f t="shared" si="24"/>
        <v>0.51453105392986931</v>
      </c>
      <c r="L57" s="98">
        <f t="shared" si="25"/>
        <v>0.55561265601452581</v>
      </c>
      <c r="M57" s="101">
        <f t="shared" si="34"/>
        <v>0.36850880385296653</v>
      </c>
      <c r="O57" s="100">
        <f t="shared" si="26"/>
        <v>2.1017093699024181</v>
      </c>
      <c r="P57" s="119">
        <f>IF('Temperature in bundle'!$P$4="Current = 1A per pair",2,IF($A57="","",('Temperature in bundle'!$Q$6-('Temperature in bundle'!$Q$6^2-4*(O57+Q$7)*'Temperature in bundle'!$Q$7)^0.5)/2/(O57+Q$7)))</f>
        <v>0.51455158976434234</v>
      </c>
      <c r="Q57" s="98">
        <f t="shared" si="27"/>
        <v>0.5564555893930706</v>
      </c>
      <c r="R57" s="101">
        <f t="shared" si="35"/>
        <v>0.36898970734147252</v>
      </c>
      <c r="T57" s="100">
        <f t="shared" si="28"/>
        <v>2.1017133060509821</v>
      </c>
      <c r="U57" s="119">
        <f>IF('Temperature in bundle'!$P$4="Current = 1A per pair",2,IF($A57="","",('Temperature in bundle'!$Q$6-('Temperature in bundle'!$Q$6^2-4*(T57+V$7)*'Temperature in bundle'!$Q$7)^0.5)/2/(T57+V$7)))</f>
        <v>0.51455161896576329</v>
      </c>
      <c r="V57" s="98">
        <f t="shared" si="29"/>
        <v>0.55645669470007186</v>
      </c>
      <c r="W57" s="101">
        <f t="shared" si="36"/>
        <v>0.3689903384074234</v>
      </c>
      <c r="Y57" s="100">
        <f t="shared" si="30"/>
        <v>2.1017133112161956</v>
      </c>
      <c r="Z57" s="119">
        <f>IF('Temperature in bundle'!$P$4="Current = 1A per pair",2,IF($A57="","",('Temperature in bundle'!$Q$6-('Temperature in bundle'!$Q$6^2-4*(Y57+AA$7)*'Temperature in bundle'!$Q$7)^0.5)/2/(Y57+AA$7)))</f>
        <v>0.51455161901024937</v>
      </c>
      <c r="AA57" s="98">
        <f t="shared" si="31"/>
        <v>0.5564566961638493</v>
      </c>
      <c r="AB57" s="101">
        <f t="shared" si="37"/>
        <v>0.36899033924438507</v>
      </c>
    </row>
    <row r="58" spans="1:28">
      <c r="A58">
        <f t="shared" si="38"/>
        <v>8</v>
      </c>
      <c r="B58" s="113">
        <v>1.5</v>
      </c>
      <c r="C58" s="113">
        <f>-SQRT(3)/2</f>
        <v>-0.8660254037844386</v>
      </c>
      <c r="D58" s="113">
        <f t="shared" si="40"/>
        <v>1.7320508075688772</v>
      </c>
      <c r="E58" s="113">
        <f t="shared" si="32"/>
        <v>1.5</v>
      </c>
      <c r="F58" s="113">
        <f t="shared" si="32"/>
        <v>-0.8660254037844386</v>
      </c>
      <c r="G58" s="113">
        <f t="shared" si="39"/>
        <v>1.5275252316519465</v>
      </c>
      <c r="J58" s="116">
        <f t="shared" si="33"/>
        <v>2.0986931609674486</v>
      </c>
      <c r="K58" s="119">
        <f t="shared" si="24"/>
        <v>0.51453105392986931</v>
      </c>
      <c r="L58" s="98">
        <f t="shared" si="25"/>
        <v>0.55561265601452581</v>
      </c>
      <c r="M58" s="101">
        <f t="shared" si="34"/>
        <v>0.35860343290708829</v>
      </c>
      <c r="O58" s="100">
        <f t="shared" si="26"/>
        <v>2.1016282953988008</v>
      </c>
      <c r="P58" s="119">
        <f>IF('Temperature in bundle'!$P$4="Current = 1A per pair",2,IF($A58="","",('Temperature in bundle'!$Q$6-('Temperature in bundle'!$Q$6^2-4*(O58+Q$7)*'Temperature in bundle'!$Q$7)^0.5)/2/(O58+Q$7)))</f>
        <v>0.51455113471634795</v>
      </c>
      <c r="Q58" s="98">
        <f t="shared" si="27"/>
        <v>0.55643313966293229</v>
      </c>
      <c r="R58" s="101">
        <f t="shared" si="35"/>
        <v>0.35907140989996372</v>
      </c>
      <c r="T58" s="100">
        <f t="shared" si="28"/>
        <v>2.101632125745247</v>
      </c>
      <c r="U58" s="119">
        <f>IF('Temperature in bundle'!$P$4="Current = 1A per pair",2,IF($A58="","",('Temperature in bundle'!$Q$6-('Temperature in bundle'!$Q$6^2-4*(T58+V$7)*'Temperature in bundle'!$Q$7)^0.5)/2/(T58+V$7)))</f>
        <v>0.51455116332382667</v>
      </c>
      <c r="V58" s="98">
        <f t="shared" si="29"/>
        <v>0.55643421566854756</v>
      </c>
      <c r="W58" s="101">
        <f t="shared" si="36"/>
        <v>0.35907202400311133</v>
      </c>
      <c r="Y58" s="100">
        <f t="shared" si="30"/>
        <v>2.1016321307716219</v>
      </c>
      <c r="Z58" s="119">
        <f>IF('Temperature in bundle'!$P$4="Current = 1A per pair",2,IF($A58="","",('Temperature in bundle'!$Q$6-('Temperature in bundle'!$Q$6^2-4*(Y58+AA$7)*'Temperature in bundle'!$Q$7)^0.5)/2/(Y58+AA$7)))</f>
        <v>0.51455116336753515</v>
      </c>
      <c r="AA58" s="98">
        <f t="shared" si="31"/>
        <v>0.55643421709387764</v>
      </c>
      <c r="AB58" s="101">
        <f t="shared" si="37"/>
        <v>0.35907202481757583</v>
      </c>
    </row>
    <row r="59" spans="1:28">
      <c r="A59">
        <f t="shared" si="38"/>
        <v>9</v>
      </c>
      <c r="B59" s="113">
        <v>2</v>
      </c>
      <c r="C59" s="113">
        <v>0</v>
      </c>
      <c r="D59" s="113">
        <f>(B59^2+C59^2)^0.5</f>
        <v>2</v>
      </c>
      <c r="E59" s="113">
        <f>IF($A59="","",B59)</f>
        <v>2</v>
      </c>
      <c r="F59" s="113">
        <f>IF($A59="","",C59)</f>
        <v>0</v>
      </c>
      <c r="G59" s="113">
        <f t="shared" si="39"/>
        <v>1.5275252316519468</v>
      </c>
      <c r="J59" s="116">
        <f t="shared" si="33"/>
        <v>2.0986931609674486</v>
      </c>
      <c r="K59" s="119">
        <f t="shared" si="24"/>
        <v>0.51453105392986931</v>
      </c>
      <c r="L59" s="98">
        <f t="shared" si="25"/>
        <v>0.55561265601452581</v>
      </c>
      <c r="M59" s="101">
        <f t="shared" si="34"/>
        <v>0.35860343290708824</v>
      </c>
      <c r="O59" s="100">
        <f t="shared" si="26"/>
        <v>2.1016282953988008</v>
      </c>
      <c r="P59" s="119">
        <f>IF('Temperature in bundle'!$P$4="Current = 1A per pair",2,IF($A59="","",('Temperature in bundle'!$Q$6-('Temperature in bundle'!$Q$6^2-4*(O59+Q$7)*'Temperature in bundle'!$Q$7)^0.5)/2/(O59+Q$7)))</f>
        <v>0.51455113471634795</v>
      </c>
      <c r="Q59" s="98">
        <f t="shared" si="27"/>
        <v>0.55643313966293229</v>
      </c>
      <c r="R59" s="101">
        <f t="shared" si="35"/>
        <v>0.35907140989996372</v>
      </c>
      <c r="T59" s="100">
        <f t="shared" si="28"/>
        <v>2.101632125745247</v>
      </c>
      <c r="U59" s="119">
        <f>IF('Temperature in bundle'!$P$4="Current = 1A per pair",2,IF($A59="","",('Temperature in bundle'!$Q$6-('Temperature in bundle'!$Q$6^2-4*(T59+V$7)*'Temperature in bundle'!$Q$7)^0.5)/2/(T59+V$7)))</f>
        <v>0.51455116332382667</v>
      </c>
      <c r="V59" s="98">
        <f t="shared" si="29"/>
        <v>0.55643421566854756</v>
      </c>
      <c r="W59" s="101">
        <f t="shared" si="36"/>
        <v>0.35907202400311133</v>
      </c>
      <c r="Y59" s="100">
        <f t="shared" si="30"/>
        <v>2.1016321307716219</v>
      </c>
      <c r="Z59" s="119">
        <f>IF('Temperature in bundle'!$P$4="Current = 1A per pair",2,IF($A59="","",('Temperature in bundle'!$Q$6-('Temperature in bundle'!$Q$6^2-4*(Y59+AA$7)*'Temperature in bundle'!$Q$7)^0.5)/2/(Y59+AA$7)))</f>
        <v>0.51455116336753515</v>
      </c>
      <c r="AA59" s="98">
        <f t="shared" si="31"/>
        <v>0.55643421709387764</v>
      </c>
      <c r="AB59" s="101">
        <f t="shared" si="37"/>
        <v>0.35907202481757583</v>
      </c>
    </row>
    <row r="60" spans="1:28">
      <c r="A60">
        <f t="shared" si="38"/>
        <v>10</v>
      </c>
      <c r="B60" s="113">
        <v>1.5</v>
      </c>
      <c r="C60" s="113">
        <f>SQRT(3)/2</f>
        <v>0.8660254037844386</v>
      </c>
      <c r="D60" s="113">
        <f t="shared" si="40"/>
        <v>1.7320508075688772</v>
      </c>
      <c r="E60" s="113">
        <f t="shared" si="32"/>
        <v>1.5</v>
      </c>
      <c r="F60" s="113">
        <f t="shared" si="32"/>
        <v>0.8660254037844386</v>
      </c>
      <c r="G60" s="113">
        <f t="shared" si="39"/>
        <v>1.1547005383792515</v>
      </c>
      <c r="J60" s="116">
        <f t="shared" si="33"/>
        <v>2.0986931609674486</v>
      </c>
      <c r="K60" s="119">
        <f t="shared" si="24"/>
        <v>0.51453105392986931</v>
      </c>
      <c r="L60" s="98">
        <f t="shared" si="25"/>
        <v>0.55561265601452581</v>
      </c>
      <c r="M60" s="101">
        <f t="shared" si="34"/>
        <v>0.36850880385296653</v>
      </c>
      <c r="O60" s="100">
        <f t="shared" si="26"/>
        <v>2.1017093699024181</v>
      </c>
      <c r="P60" s="119">
        <f>IF('Temperature in bundle'!$P$4="Current = 1A per pair",2,IF($A60="","",('Temperature in bundle'!$Q$6-('Temperature in bundle'!$Q$6^2-4*(O60+Q$7)*'Temperature in bundle'!$Q$7)^0.5)/2/(O60+Q$7)))</f>
        <v>0.51455158976434234</v>
      </c>
      <c r="Q60" s="98">
        <f t="shared" si="27"/>
        <v>0.5564555893930706</v>
      </c>
      <c r="R60" s="101">
        <f t="shared" si="35"/>
        <v>0.36898970734147252</v>
      </c>
      <c r="T60" s="100">
        <f t="shared" si="28"/>
        <v>2.1017133060509821</v>
      </c>
      <c r="U60" s="119">
        <f>IF('Temperature in bundle'!$P$4="Current = 1A per pair",2,IF($A60="","",('Temperature in bundle'!$Q$6-('Temperature in bundle'!$Q$6^2-4*(T60+V$7)*'Temperature in bundle'!$Q$7)^0.5)/2/(T60+V$7)))</f>
        <v>0.51455161896576329</v>
      </c>
      <c r="V60" s="98">
        <f t="shared" si="29"/>
        <v>0.55645669470007186</v>
      </c>
      <c r="W60" s="101">
        <f t="shared" si="36"/>
        <v>0.3689903384074234</v>
      </c>
      <c r="Y60" s="100">
        <f t="shared" si="30"/>
        <v>2.1017133112161956</v>
      </c>
      <c r="Z60" s="119">
        <f>IF('Temperature in bundle'!$P$4="Current = 1A per pair",2,IF($A60="","",('Temperature in bundle'!$Q$6-('Temperature in bundle'!$Q$6^2-4*(Y60+AA$7)*'Temperature in bundle'!$Q$7)^0.5)/2/(Y60+AA$7)))</f>
        <v>0.51455161901024937</v>
      </c>
      <c r="AA60" s="98">
        <f t="shared" si="31"/>
        <v>0.5564566961638493</v>
      </c>
      <c r="AB60" s="101">
        <f t="shared" si="37"/>
        <v>0.36899033924438507</v>
      </c>
    </row>
    <row r="61" spans="1:28">
      <c r="A61">
        <f t="shared" si="38"/>
        <v>11</v>
      </c>
      <c r="B61" s="113">
        <v>1</v>
      </c>
      <c r="C61" s="113">
        <f>SQRT(3)</f>
        <v>1.7320508075688772</v>
      </c>
      <c r="D61" s="113">
        <f t="shared" si="40"/>
        <v>2</v>
      </c>
      <c r="E61" s="113">
        <f t="shared" si="32"/>
        <v>1</v>
      </c>
      <c r="F61" s="113">
        <f t="shared" si="32"/>
        <v>1.7320508075688772</v>
      </c>
      <c r="G61" s="113">
        <f t="shared" si="39"/>
        <v>1.5275252316519465</v>
      </c>
      <c r="J61" s="116">
        <f t="shared" si="33"/>
        <v>2.0986931609674486</v>
      </c>
      <c r="K61" s="119">
        <f t="shared" si="24"/>
        <v>0.51453105392986931</v>
      </c>
      <c r="L61" s="98">
        <f t="shared" si="25"/>
        <v>0.55561265601452581</v>
      </c>
      <c r="M61" s="101">
        <f t="shared" si="34"/>
        <v>0.35860343290708829</v>
      </c>
      <c r="O61" s="100">
        <f t="shared" si="26"/>
        <v>2.1016282953988008</v>
      </c>
      <c r="P61" s="119">
        <f>IF('Temperature in bundle'!$P$4="Current = 1A per pair",2,IF($A61="","",('Temperature in bundle'!$Q$6-('Temperature in bundle'!$Q$6^2-4*(O61+Q$7)*'Temperature in bundle'!$Q$7)^0.5)/2/(O61+Q$7)))</f>
        <v>0.51455113471634795</v>
      </c>
      <c r="Q61" s="98">
        <f t="shared" si="27"/>
        <v>0.55643313966293229</v>
      </c>
      <c r="R61" s="101">
        <f t="shared" si="35"/>
        <v>0.35907140989996372</v>
      </c>
      <c r="T61" s="100">
        <f t="shared" si="28"/>
        <v>2.101632125745247</v>
      </c>
      <c r="U61" s="119">
        <f>IF('Temperature in bundle'!$P$4="Current = 1A per pair",2,IF($A61="","",('Temperature in bundle'!$Q$6-('Temperature in bundle'!$Q$6^2-4*(T61+V$7)*'Temperature in bundle'!$Q$7)^0.5)/2/(T61+V$7)))</f>
        <v>0.51455116332382667</v>
      </c>
      <c r="V61" s="98">
        <f t="shared" si="29"/>
        <v>0.55643421566854756</v>
      </c>
      <c r="W61" s="101">
        <f t="shared" si="36"/>
        <v>0.35907202400311133</v>
      </c>
      <c r="Y61" s="100">
        <f t="shared" si="30"/>
        <v>2.1016321307716219</v>
      </c>
      <c r="Z61" s="119">
        <f>IF('Temperature in bundle'!$P$4="Current = 1A per pair",2,IF($A61="","",('Temperature in bundle'!$Q$6-('Temperature in bundle'!$Q$6^2-4*(Y61+AA$7)*'Temperature in bundle'!$Q$7)^0.5)/2/(Y61+AA$7)))</f>
        <v>0.51455116336753515</v>
      </c>
      <c r="AA61" s="98">
        <f t="shared" si="31"/>
        <v>0.55643421709387764</v>
      </c>
      <c r="AB61" s="101">
        <f t="shared" si="37"/>
        <v>0.35907202481757583</v>
      </c>
    </row>
    <row r="62" spans="1:28">
      <c r="A62">
        <f t="shared" si="38"/>
        <v>12</v>
      </c>
      <c r="B62" s="113">
        <v>0</v>
      </c>
      <c r="C62" s="113">
        <f>SQRT(3)</f>
        <v>1.7320508075688772</v>
      </c>
      <c r="D62" s="113">
        <f t="shared" si="40"/>
        <v>1.7320508075688772</v>
      </c>
      <c r="E62" s="113">
        <f t="shared" si="32"/>
        <v>0</v>
      </c>
      <c r="F62" s="113">
        <f t="shared" si="32"/>
        <v>1.7320508075688772</v>
      </c>
      <c r="G62" s="113">
        <f t="shared" si="39"/>
        <v>1.5275252316519465</v>
      </c>
      <c r="J62" s="116">
        <f t="shared" si="33"/>
        <v>2.0986931609674486</v>
      </c>
      <c r="K62" s="119">
        <f t="shared" si="24"/>
        <v>0.51453105392986931</v>
      </c>
      <c r="L62" s="98">
        <f t="shared" si="25"/>
        <v>0.55561265601452581</v>
      </c>
      <c r="M62" s="101">
        <f t="shared" si="34"/>
        <v>0.35860343290708829</v>
      </c>
      <c r="O62" s="100">
        <f t="shared" si="26"/>
        <v>2.1016282953988008</v>
      </c>
      <c r="P62" s="119">
        <f>IF('Temperature in bundle'!$P$4="Current = 1A per pair",2,IF($A62="","",('Temperature in bundle'!$Q$6-('Temperature in bundle'!$Q$6^2-4*(O62+Q$7)*'Temperature in bundle'!$Q$7)^0.5)/2/(O62+Q$7)))</f>
        <v>0.51455113471634795</v>
      </c>
      <c r="Q62" s="98">
        <f t="shared" si="27"/>
        <v>0.55643313966293229</v>
      </c>
      <c r="R62" s="101">
        <f t="shared" si="35"/>
        <v>0.35907140989996372</v>
      </c>
      <c r="T62" s="100">
        <f t="shared" si="28"/>
        <v>2.101632125745247</v>
      </c>
      <c r="U62" s="119">
        <f>IF('Temperature in bundle'!$P$4="Current = 1A per pair",2,IF($A62="","",('Temperature in bundle'!$Q$6-('Temperature in bundle'!$Q$6^2-4*(T62+V$7)*'Temperature in bundle'!$Q$7)^0.5)/2/(T62+V$7)))</f>
        <v>0.51455116332382667</v>
      </c>
      <c r="V62" s="98">
        <f t="shared" si="29"/>
        <v>0.55643421566854756</v>
      </c>
      <c r="W62" s="101">
        <f t="shared" si="36"/>
        <v>0.35907202400311133</v>
      </c>
      <c r="Y62" s="100">
        <f t="shared" si="30"/>
        <v>2.1016321307716219</v>
      </c>
      <c r="Z62" s="119">
        <f>IF('Temperature in bundle'!$P$4="Current = 1A per pair",2,IF($A62="","",('Temperature in bundle'!$Q$6-('Temperature in bundle'!$Q$6^2-4*(Y62+AA$7)*'Temperature in bundle'!$Q$7)^0.5)/2/(Y62+AA$7)))</f>
        <v>0.51455116336753515</v>
      </c>
      <c r="AA62" s="98">
        <f t="shared" si="31"/>
        <v>0.55643421709387764</v>
      </c>
      <c r="AB62" s="101">
        <f t="shared" si="37"/>
        <v>0.35907202481757583</v>
      </c>
    </row>
    <row r="63" spans="1:28">
      <c r="A63">
        <f t="shared" si="38"/>
        <v>13</v>
      </c>
      <c r="B63" s="113">
        <v>-1</v>
      </c>
      <c r="C63" s="113">
        <f>SQRT(3)</f>
        <v>1.7320508075688772</v>
      </c>
      <c r="D63" s="113">
        <f t="shared" si="40"/>
        <v>2</v>
      </c>
      <c r="E63" s="113">
        <f t="shared" si="32"/>
        <v>-1</v>
      </c>
      <c r="F63" s="113">
        <f t="shared" si="32"/>
        <v>1.7320508075688772</v>
      </c>
      <c r="G63" s="113">
        <f t="shared" si="39"/>
        <v>2.0816659994661326</v>
      </c>
      <c r="J63" s="116">
        <f t="shared" si="33"/>
        <v>2.0986931609674486</v>
      </c>
      <c r="K63" s="119">
        <f t="shared" si="24"/>
        <v>0.51453105392986931</v>
      </c>
      <c r="L63" s="98">
        <f t="shared" si="25"/>
        <v>0.55561265601452581</v>
      </c>
      <c r="M63" s="101">
        <f t="shared" si="34"/>
        <v>0.33879269101533172</v>
      </c>
      <c r="O63" s="100">
        <f t="shared" si="26"/>
        <v>2.1014661463915654</v>
      </c>
      <c r="P63" s="119">
        <f>IF('Temperature in bundle'!$P$4="Current = 1A per pair",2,IF($A63="","",('Temperature in bundle'!$Q$6-('Temperature in bundle'!$Q$6^2-4*(O63+Q$7)*'Temperature in bundle'!$Q$7)^0.5)/2/(O63+Q$7)))</f>
        <v>0.51455022462526168</v>
      </c>
      <c r="Q63" s="98">
        <f t="shared" si="27"/>
        <v>0.55638824044366753</v>
      </c>
      <c r="R63" s="101">
        <f t="shared" si="35"/>
        <v>0.33923481501694608</v>
      </c>
      <c r="T63" s="100">
        <f t="shared" si="28"/>
        <v>2.1014697651337775</v>
      </c>
      <c r="U63" s="119">
        <f>IF('Temperature in bundle'!$P$4="Current = 1A per pair",2,IF($A63="","",('Temperature in bundle'!$Q$6-('Temperature in bundle'!$Q$6^2-4*(T63+V$7)*'Temperature in bundle'!$Q$7)^0.5)/2/(T63+V$7)))</f>
        <v>0.51455025204487281</v>
      </c>
      <c r="V63" s="98">
        <f t="shared" si="29"/>
        <v>0.55638925784714943</v>
      </c>
      <c r="W63" s="101">
        <f t="shared" si="36"/>
        <v>0.3392353951944872</v>
      </c>
      <c r="Y63" s="100">
        <f t="shared" si="30"/>
        <v>2.1014697698824745</v>
      </c>
      <c r="Z63" s="119">
        <f>IF('Temperature in bundle'!$P$4="Current = 1A per pair",2,IF($A63="","",('Temperature in bundle'!$Q$6-('Temperature in bundle'!$Q$6^2-4*(Y63+AA$7)*'Temperature in bundle'!$Q$7)^0.5)/2/(Y63+AA$7)))</f>
        <v>0.51455025208702065</v>
      </c>
      <c r="AA63" s="98">
        <f t="shared" si="31"/>
        <v>0.55638925919557358</v>
      </c>
      <c r="AB63" s="101">
        <f t="shared" si="37"/>
        <v>0.33923539596395735</v>
      </c>
    </row>
    <row r="64" spans="1:28">
      <c r="A64">
        <f t="shared" si="38"/>
        <v>14</v>
      </c>
      <c r="B64" s="113">
        <v>-1.5</v>
      </c>
      <c r="C64" s="113">
        <f>SQRT(3)/2</f>
        <v>0.8660254037844386</v>
      </c>
      <c r="D64" s="113">
        <f t="shared" si="40"/>
        <v>1.7320508075688772</v>
      </c>
      <c r="E64" s="113">
        <f t="shared" si="32"/>
        <v>-1.5</v>
      </c>
      <c r="F64" s="113">
        <f t="shared" si="32"/>
        <v>0.8660254037844386</v>
      </c>
      <c r="G64" s="113">
        <f t="shared" si="39"/>
        <v>2.0816659994661326</v>
      </c>
      <c r="J64" s="116">
        <f t="shared" si="33"/>
        <v>2.0986931609674486</v>
      </c>
      <c r="K64" s="119">
        <f t="shared" si="24"/>
        <v>0.51453105392986931</v>
      </c>
      <c r="L64" s="98">
        <f t="shared" si="25"/>
        <v>0.55561265601452581</v>
      </c>
      <c r="M64" s="101">
        <f t="shared" si="34"/>
        <v>0.33879269101533172</v>
      </c>
      <c r="O64" s="100">
        <f t="shared" si="26"/>
        <v>2.1014661463915654</v>
      </c>
      <c r="P64" s="119">
        <f>IF('Temperature in bundle'!$P$4="Current = 1A per pair",2,IF($A64="","",('Temperature in bundle'!$Q$6-('Temperature in bundle'!$Q$6^2-4*(O64+Q$7)*'Temperature in bundle'!$Q$7)^0.5)/2/(O64+Q$7)))</f>
        <v>0.51455022462526168</v>
      </c>
      <c r="Q64" s="98">
        <f t="shared" si="27"/>
        <v>0.55638824044366753</v>
      </c>
      <c r="R64" s="101">
        <f t="shared" si="35"/>
        <v>0.33923481501694608</v>
      </c>
      <c r="T64" s="100">
        <f t="shared" si="28"/>
        <v>2.1014697651337775</v>
      </c>
      <c r="U64" s="119">
        <f>IF('Temperature in bundle'!$P$4="Current = 1A per pair",2,IF($A64="","",('Temperature in bundle'!$Q$6-('Temperature in bundle'!$Q$6^2-4*(T64+V$7)*'Temperature in bundle'!$Q$7)^0.5)/2/(T64+V$7)))</f>
        <v>0.51455025204487281</v>
      </c>
      <c r="V64" s="98">
        <f t="shared" si="29"/>
        <v>0.55638925784714943</v>
      </c>
      <c r="W64" s="101">
        <f t="shared" si="36"/>
        <v>0.3392353951944872</v>
      </c>
      <c r="Y64" s="100">
        <f t="shared" si="30"/>
        <v>2.1014697698824745</v>
      </c>
      <c r="Z64" s="119">
        <f>IF('Temperature in bundle'!$P$4="Current = 1A per pair",2,IF($A64="","",('Temperature in bundle'!$Q$6-('Temperature in bundle'!$Q$6^2-4*(Y64+AA$7)*'Temperature in bundle'!$Q$7)^0.5)/2/(Y64+AA$7)))</f>
        <v>0.51455025208702065</v>
      </c>
      <c r="AA64" s="98">
        <f t="shared" si="31"/>
        <v>0.55638925919557358</v>
      </c>
      <c r="AB64" s="101">
        <f t="shared" si="37"/>
        <v>0.33923539596395735</v>
      </c>
    </row>
    <row r="65" spans="1:28">
      <c r="A65">
        <f t="shared" si="38"/>
        <v>15</v>
      </c>
      <c r="B65" s="113">
        <v>-2</v>
      </c>
      <c r="C65" s="113">
        <v>0</v>
      </c>
      <c r="D65" s="113">
        <f t="shared" si="40"/>
        <v>2</v>
      </c>
      <c r="E65" s="113">
        <f t="shared" si="32"/>
        <v>-2</v>
      </c>
      <c r="F65" s="113">
        <f t="shared" si="32"/>
        <v>0</v>
      </c>
      <c r="G65" s="113">
        <f t="shared" si="39"/>
        <v>2.5166114784235831</v>
      </c>
      <c r="J65" s="116">
        <f t="shared" si="33"/>
        <v>2.0986931609674486</v>
      </c>
      <c r="K65" s="119">
        <f t="shared" si="24"/>
        <v>0.51453105392986931</v>
      </c>
      <c r="L65" s="98">
        <f t="shared" si="25"/>
        <v>0.55561265601452581</v>
      </c>
      <c r="M65" s="101">
        <f t="shared" si="34"/>
        <v>0.31898194912357514</v>
      </c>
      <c r="O65" s="100">
        <f t="shared" si="26"/>
        <v>2.1013039973843295</v>
      </c>
      <c r="P65" s="119">
        <f>IF('Temperature in bundle'!$P$4="Current = 1A per pair",2,IF($A65="","",('Temperature in bundle'!$Q$6-('Temperature in bundle'!$Q$6^2-4*(O65+Q$7)*'Temperature in bundle'!$Q$7)^0.5)/2/(O65+Q$7)))</f>
        <v>0.51454931454071084</v>
      </c>
      <c r="Q65" s="98">
        <f t="shared" si="27"/>
        <v>0.55634334154574572</v>
      </c>
      <c r="R65" s="101">
        <f t="shared" si="35"/>
        <v>0.31939822013392849</v>
      </c>
      <c r="T65" s="100">
        <f t="shared" si="28"/>
        <v>2.1013074045223075</v>
      </c>
      <c r="U65" s="119">
        <f>IF('Temperature in bundle'!$P$4="Current = 1A per pair",2,IF($A65="","",('Temperature in bundle'!$Q$6-('Temperature in bundle'!$Q$6^2-4*(T65+V$7)*'Temperature in bundle'!$Q$7)^0.5)/2/(T65+V$7)))</f>
        <v>0.5145493407724685</v>
      </c>
      <c r="V65" s="98">
        <f t="shared" si="29"/>
        <v>0.55634430034792726</v>
      </c>
      <c r="W65" s="101">
        <f t="shared" si="36"/>
        <v>0.31939876638586306</v>
      </c>
      <c r="Y65" s="100">
        <f t="shared" si="30"/>
        <v>2.101307408993327</v>
      </c>
      <c r="Z65" s="119">
        <f>IF('Temperature in bundle'!$P$4="Current = 1A per pair",2,IF($A65="","",('Temperature in bundle'!$Q$6-('Temperature in bundle'!$Q$6^2-4*(Y65+AA$7)*'Temperature in bundle'!$Q$7)^0.5)/2/(Y65+AA$7)))</f>
        <v>0.51454934081305781</v>
      </c>
      <c r="AA65" s="98">
        <f t="shared" si="31"/>
        <v>0.55634430161945136</v>
      </c>
      <c r="AB65" s="101">
        <f t="shared" si="37"/>
        <v>0.31939876711033877</v>
      </c>
    </row>
    <row r="66" spans="1:28">
      <c r="A66">
        <f t="shared" si="38"/>
        <v>16</v>
      </c>
      <c r="B66" s="113">
        <v>-1.5</v>
      </c>
      <c r="C66" s="113">
        <f>-SQRT(3)/2</f>
        <v>-0.8660254037844386</v>
      </c>
      <c r="D66" s="113">
        <f t="shared" si="40"/>
        <v>1.7320508075688772</v>
      </c>
      <c r="E66" s="113">
        <f t="shared" si="32"/>
        <v>-1.5</v>
      </c>
      <c r="F66" s="113">
        <f t="shared" si="32"/>
        <v>-0.8660254037844386</v>
      </c>
      <c r="G66" s="113">
        <f t="shared" si="39"/>
        <v>2.3094010767585029</v>
      </c>
      <c r="J66" s="116">
        <f t="shared" si="33"/>
        <v>2.0986931609674486</v>
      </c>
      <c r="K66" s="119">
        <f t="shared" si="24"/>
        <v>0.51453105392986931</v>
      </c>
      <c r="L66" s="98">
        <f t="shared" si="25"/>
        <v>0.55561265601452581</v>
      </c>
      <c r="M66" s="101">
        <f t="shared" si="34"/>
        <v>0.32888732006945343</v>
      </c>
      <c r="O66" s="100">
        <f t="shared" si="26"/>
        <v>2.1013850718879477</v>
      </c>
      <c r="P66" s="119">
        <f>IF('Temperature in bundle'!$P$4="Current = 1A per pair",2,IF($A66="","",('Temperature in bundle'!$Q$6-('Temperature in bundle'!$Q$6^2-4*(O66+Q$7)*'Temperature in bundle'!$Q$7)^0.5)/2/(O66+Q$7)))</f>
        <v>0.5145497695821688</v>
      </c>
      <c r="Q66" s="98">
        <f t="shared" si="27"/>
        <v>0.55636579095453798</v>
      </c>
      <c r="R66" s="101">
        <f t="shared" si="35"/>
        <v>0.32931651757543728</v>
      </c>
      <c r="T66" s="100">
        <f t="shared" si="28"/>
        <v>2.1013885848280425</v>
      </c>
      <c r="U66" s="119">
        <f>IF('Temperature in bundle'!$P$4="Current = 1A per pair",2,IF($A66="","",('Temperature in bundle'!$Q$6-('Temperature in bundle'!$Q$6^2-4*(T66+V$7)*'Temperature in bundle'!$Q$7)^0.5)/2/(T66+V$7)))</f>
        <v>0.5145497964078507</v>
      </c>
      <c r="V66" s="98">
        <f t="shared" si="29"/>
        <v>0.55636677905726384</v>
      </c>
      <c r="W66" s="101">
        <f t="shared" si="36"/>
        <v>0.32931708079017519</v>
      </c>
      <c r="Y66" s="100">
        <f t="shared" si="30"/>
        <v>2.1013885894379007</v>
      </c>
      <c r="Z66" s="119">
        <f>IF('Temperature in bundle'!$P$4="Current = 1A per pair",2,IF($A66="","",('Temperature in bundle'!$Q$6-('Temperature in bundle'!$Q$6^2-4*(Y66+AA$7)*'Temperature in bundle'!$Q$7)^0.5)/2/(Y66+AA$7)))</f>
        <v>0.51454979644921939</v>
      </c>
      <c r="AA66" s="98">
        <f t="shared" si="31"/>
        <v>0.55636678036723819</v>
      </c>
      <c r="AB66" s="101">
        <f t="shared" si="37"/>
        <v>0.32931708153714806</v>
      </c>
    </row>
    <row r="67" spans="1:28">
      <c r="A67">
        <f t="shared" si="38"/>
        <v>17</v>
      </c>
      <c r="B67" s="113">
        <v>-1</v>
      </c>
      <c r="C67" s="113">
        <f>-SQRT(3)</f>
        <v>-1.7320508075688772</v>
      </c>
      <c r="D67" s="113">
        <f t="shared" si="40"/>
        <v>2</v>
      </c>
      <c r="E67" s="113">
        <f t="shared" si="32"/>
        <v>-1</v>
      </c>
      <c r="F67" s="113">
        <f t="shared" si="32"/>
        <v>-1.7320508075688772</v>
      </c>
      <c r="G67" s="113">
        <f t="shared" si="39"/>
        <v>2.5166114784235831</v>
      </c>
      <c r="J67" s="116">
        <f t="shared" si="33"/>
        <v>2.0986931609674486</v>
      </c>
      <c r="K67" s="119">
        <f t="shared" si="24"/>
        <v>0.51453105392986931</v>
      </c>
      <c r="L67" s="98">
        <f t="shared" si="25"/>
        <v>0.55561265601452581</v>
      </c>
      <c r="M67" s="101">
        <f t="shared" si="34"/>
        <v>0.31898194912357514</v>
      </c>
      <c r="O67" s="100">
        <f t="shared" si="26"/>
        <v>2.1013039973843295</v>
      </c>
      <c r="P67" s="119">
        <f>IF('Temperature in bundle'!$P$4="Current = 1A per pair",2,IF($A67="","",('Temperature in bundle'!$Q$6-('Temperature in bundle'!$Q$6^2-4*(O67+Q$7)*'Temperature in bundle'!$Q$7)^0.5)/2/(O67+Q$7)))</f>
        <v>0.51454931454071084</v>
      </c>
      <c r="Q67" s="98">
        <f t="shared" si="27"/>
        <v>0.55634334154574572</v>
      </c>
      <c r="R67" s="101">
        <f t="shared" si="35"/>
        <v>0.31939822013392849</v>
      </c>
      <c r="T67" s="100">
        <f t="shared" si="28"/>
        <v>2.1013074045223075</v>
      </c>
      <c r="U67" s="119">
        <f>IF('Temperature in bundle'!$P$4="Current = 1A per pair",2,IF($A67="","",('Temperature in bundle'!$Q$6-('Temperature in bundle'!$Q$6^2-4*(T67+V$7)*'Temperature in bundle'!$Q$7)^0.5)/2/(T67+V$7)))</f>
        <v>0.5145493407724685</v>
      </c>
      <c r="V67" s="98">
        <f t="shared" si="29"/>
        <v>0.55634430034792726</v>
      </c>
      <c r="W67" s="101">
        <f t="shared" si="36"/>
        <v>0.31939876638586306</v>
      </c>
      <c r="Y67" s="100">
        <f t="shared" si="30"/>
        <v>2.101307408993327</v>
      </c>
      <c r="Z67" s="119">
        <f>IF('Temperature in bundle'!$P$4="Current = 1A per pair",2,IF($A67="","",('Temperature in bundle'!$Q$6-('Temperature in bundle'!$Q$6^2-4*(Y67+AA$7)*'Temperature in bundle'!$Q$7)^0.5)/2/(Y67+AA$7)))</f>
        <v>0.51454934081305781</v>
      </c>
      <c r="AA67" s="98">
        <f t="shared" si="31"/>
        <v>0.55634430161945136</v>
      </c>
      <c r="AB67" s="101">
        <f t="shared" si="37"/>
        <v>0.31939876711033877</v>
      </c>
    </row>
    <row r="68" spans="1:28">
      <c r="A68">
        <f t="shared" si="38"/>
        <v>18</v>
      </c>
      <c r="B68" s="113">
        <v>0</v>
      </c>
      <c r="C68" s="113">
        <f>-SQRT(3)</f>
        <v>-1.7320508075688772</v>
      </c>
      <c r="D68" s="113">
        <f t="shared" si="40"/>
        <v>1.7320508075688772</v>
      </c>
      <c r="E68" s="113">
        <f t="shared" si="32"/>
        <v>0</v>
      </c>
      <c r="F68" s="113">
        <f t="shared" si="32"/>
        <v>-1.7320508075688772</v>
      </c>
      <c r="G68" s="113">
        <f t="shared" si="39"/>
        <v>2.0816659994661326</v>
      </c>
      <c r="J68" s="116">
        <f t="shared" si="33"/>
        <v>2.0986931609674486</v>
      </c>
      <c r="K68" s="119">
        <f t="shared" si="24"/>
        <v>0.51453105392986931</v>
      </c>
      <c r="L68" s="98">
        <f t="shared" si="25"/>
        <v>0.55561265601452581</v>
      </c>
      <c r="M68" s="101">
        <f t="shared" si="34"/>
        <v>0.33879269101533172</v>
      </c>
      <c r="O68" s="100">
        <f t="shared" si="26"/>
        <v>2.1014661463915654</v>
      </c>
      <c r="P68" s="119">
        <f>IF('Temperature in bundle'!$P$4="Current = 1A per pair",2,IF($A68="","",('Temperature in bundle'!$Q$6-('Temperature in bundle'!$Q$6^2-4*(O68+Q$7)*'Temperature in bundle'!$Q$7)^0.5)/2/(O68+Q$7)))</f>
        <v>0.51455022462526168</v>
      </c>
      <c r="Q68" s="98">
        <f t="shared" si="27"/>
        <v>0.55638824044366753</v>
      </c>
      <c r="R68" s="101">
        <f t="shared" si="35"/>
        <v>0.33923481501694608</v>
      </c>
      <c r="T68" s="100">
        <f t="shared" si="28"/>
        <v>2.1014697651337775</v>
      </c>
      <c r="U68" s="119">
        <f>IF('Temperature in bundle'!$P$4="Current = 1A per pair",2,IF($A68="","",('Temperature in bundle'!$Q$6-('Temperature in bundle'!$Q$6^2-4*(T68+V$7)*'Temperature in bundle'!$Q$7)^0.5)/2/(T68+V$7)))</f>
        <v>0.51455025204487281</v>
      </c>
      <c r="V68" s="98">
        <f t="shared" si="29"/>
        <v>0.55638925784714943</v>
      </c>
      <c r="W68" s="101">
        <f t="shared" si="36"/>
        <v>0.3392353951944872</v>
      </c>
      <c r="Y68" s="100">
        <f t="shared" si="30"/>
        <v>2.1014697698824745</v>
      </c>
      <c r="Z68" s="119">
        <f>IF('Temperature in bundle'!$P$4="Current = 1A per pair",2,IF($A68="","",('Temperature in bundle'!$Q$6-('Temperature in bundle'!$Q$6^2-4*(Y68+AA$7)*'Temperature in bundle'!$Q$7)^0.5)/2/(Y68+AA$7)))</f>
        <v>0.51455025208702065</v>
      </c>
      <c r="AA68" s="98">
        <f t="shared" si="31"/>
        <v>0.55638925919557358</v>
      </c>
      <c r="AB68" s="101">
        <f t="shared" si="37"/>
        <v>0.33923539596395735</v>
      </c>
    </row>
    <row r="69" spans="1:28">
      <c r="A69">
        <f t="shared" si="38"/>
        <v>19</v>
      </c>
      <c r="B69" s="113">
        <v>1</v>
      </c>
      <c r="C69" s="113">
        <f>-SQRT(3)</f>
        <v>-1.7320508075688772</v>
      </c>
      <c r="D69" s="113">
        <f t="shared" si="40"/>
        <v>2</v>
      </c>
      <c r="E69" s="113">
        <f t="shared" si="32"/>
        <v>1</v>
      </c>
      <c r="F69" s="113">
        <f t="shared" si="32"/>
        <v>-1.7320508075688772</v>
      </c>
      <c r="G69" s="113">
        <f t="shared" si="39"/>
        <v>2.0816659994661326</v>
      </c>
      <c r="J69" s="116">
        <f t="shared" si="33"/>
        <v>2.0986931609674486</v>
      </c>
      <c r="K69" s="119">
        <f t="shared" si="24"/>
        <v>0.51453105392986931</v>
      </c>
      <c r="L69" s="98">
        <f t="shared" si="25"/>
        <v>0.55561265601452581</v>
      </c>
      <c r="M69" s="101">
        <f t="shared" si="34"/>
        <v>0.33879269101533172</v>
      </c>
      <c r="O69" s="100">
        <f t="shared" si="26"/>
        <v>2.1014661463915654</v>
      </c>
      <c r="P69" s="119">
        <f>IF('Temperature in bundle'!$P$4="Current = 1A per pair",2,IF($A69="","",('Temperature in bundle'!$Q$6-('Temperature in bundle'!$Q$6^2-4*(O69+Q$7)*'Temperature in bundle'!$Q$7)^0.5)/2/(O69+Q$7)))</f>
        <v>0.51455022462526168</v>
      </c>
      <c r="Q69" s="98">
        <f t="shared" si="27"/>
        <v>0.55638824044366753</v>
      </c>
      <c r="R69" s="101">
        <f t="shared" si="35"/>
        <v>0.33923481501694608</v>
      </c>
      <c r="T69" s="100">
        <f t="shared" si="28"/>
        <v>2.1014697651337775</v>
      </c>
      <c r="U69" s="119">
        <f>IF('Temperature in bundle'!$P$4="Current = 1A per pair",2,IF($A69="","",('Temperature in bundle'!$Q$6-('Temperature in bundle'!$Q$6^2-4*(T69+V$7)*'Temperature in bundle'!$Q$7)^0.5)/2/(T69+V$7)))</f>
        <v>0.51455025204487281</v>
      </c>
      <c r="V69" s="98">
        <f t="shared" si="29"/>
        <v>0.55638925784714943</v>
      </c>
      <c r="W69" s="101">
        <f t="shared" si="36"/>
        <v>0.3392353951944872</v>
      </c>
      <c r="Y69" s="100">
        <f t="shared" si="30"/>
        <v>2.1014697698824745</v>
      </c>
      <c r="Z69" s="119">
        <f>IF('Temperature in bundle'!$P$4="Current = 1A per pair",2,IF($A69="","",('Temperature in bundle'!$Q$6-('Temperature in bundle'!$Q$6^2-4*(Y69+AA$7)*'Temperature in bundle'!$Q$7)^0.5)/2/(Y69+AA$7)))</f>
        <v>0.51455025208702065</v>
      </c>
      <c r="AA69" s="98">
        <f t="shared" si="31"/>
        <v>0.55638925919557358</v>
      </c>
      <c r="AB69" s="101">
        <f t="shared" si="37"/>
        <v>0.33923539596395735</v>
      </c>
    </row>
    <row r="70" spans="1:28">
      <c r="A70">
        <f t="shared" si="38"/>
        <v>20</v>
      </c>
      <c r="B70" s="113">
        <v>2</v>
      </c>
      <c r="C70" s="113">
        <f>-SQRT(3)</f>
        <v>-1.7320508075688772</v>
      </c>
      <c r="D70" s="113">
        <f t="shared" si="40"/>
        <v>2.6457513110645907</v>
      </c>
      <c r="E70" s="113">
        <f t="shared" si="32"/>
        <v>2</v>
      </c>
      <c r="F70" s="113">
        <f t="shared" si="32"/>
        <v>-1.7320508075688772</v>
      </c>
      <c r="G70" s="113">
        <f t="shared" si="39"/>
        <v>2.5166114784235831</v>
      </c>
      <c r="J70" s="116">
        <f t="shared" si="33"/>
        <v>2.0986931609674486</v>
      </c>
      <c r="K70" s="119">
        <f t="shared" si="24"/>
        <v>0.51453105392986931</v>
      </c>
      <c r="L70" s="98">
        <f t="shared" si="25"/>
        <v>0.55561265601452581</v>
      </c>
      <c r="M70" s="101">
        <f t="shared" si="34"/>
        <v>0.31898194912357514</v>
      </c>
      <c r="O70" s="100">
        <f t="shared" si="26"/>
        <v>2.1013039973843295</v>
      </c>
      <c r="P70" s="119">
        <f>IF('Temperature in bundle'!$P$4="Current = 1A per pair",2,IF($A70="","",('Temperature in bundle'!$Q$6-('Temperature in bundle'!$Q$6^2-4*(O70+Q$7)*'Temperature in bundle'!$Q$7)^0.5)/2/(O70+Q$7)))</f>
        <v>0.51454931454071084</v>
      </c>
      <c r="Q70" s="98">
        <f t="shared" si="27"/>
        <v>0.55634334154574572</v>
      </c>
      <c r="R70" s="101">
        <f t="shared" si="35"/>
        <v>0.31939822013392849</v>
      </c>
      <c r="T70" s="100">
        <f t="shared" si="28"/>
        <v>2.1013074045223075</v>
      </c>
      <c r="U70" s="119">
        <f>IF('Temperature in bundle'!$P$4="Current = 1A per pair",2,IF($A70="","",('Temperature in bundle'!$Q$6-('Temperature in bundle'!$Q$6^2-4*(T70+V$7)*'Temperature in bundle'!$Q$7)^0.5)/2/(T70+V$7)))</f>
        <v>0.5145493407724685</v>
      </c>
      <c r="V70" s="98">
        <f t="shared" si="29"/>
        <v>0.55634430034792726</v>
      </c>
      <c r="W70" s="101">
        <f t="shared" si="36"/>
        <v>0.31939876638586306</v>
      </c>
      <c r="Y70" s="100">
        <f t="shared" si="30"/>
        <v>2.101307408993327</v>
      </c>
      <c r="Z70" s="119">
        <f>IF('Temperature in bundle'!$P$4="Current = 1A per pair",2,IF($A70="","",('Temperature in bundle'!$Q$6-('Temperature in bundle'!$Q$6^2-4*(Y70+AA$7)*'Temperature in bundle'!$Q$7)^0.5)/2/(Y70+AA$7)))</f>
        <v>0.51454934081305781</v>
      </c>
      <c r="AA70" s="98">
        <f t="shared" si="31"/>
        <v>0.55634430161945136</v>
      </c>
      <c r="AB70" s="101">
        <f t="shared" si="37"/>
        <v>0.31939876711033877</v>
      </c>
    </row>
    <row r="71" spans="1:28">
      <c r="A71">
        <f t="shared" si="38"/>
        <v>21</v>
      </c>
      <c r="B71" s="113">
        <v>2.5</v>
      </c>
      <c r="C71" s="113">
        <f>-SQRT(3)/2</f>
        <v>-0.8660254037844386</v>
      </c>
      <c r="D71" s="113">
        <f t="shared" si="40"/>
        <v>2.6457513110645907</v>
      </c>
      <c r="E71" s="113">
        <f t="shared" si="32"/>
        <v>2.5</v>
      </c>
      <c r="F71" s="113">
        <f t="shared" si="32"/>
        <v>-0.8660254037844386</v>
      </c>
      <c r="G71" s="113">
        <f t="shared" si="39"/>
        <v>2.3094010767585029</v>
      </c>
      <c r="J71" s="116">
        <f t="shared" si="33"/>
        <v>2.0986931609674486</v>
      </c>
      <c r="K71" s="119">
        <f t="shared" si="24"/>
        <v>0.51453105392986931</v>
      </c>
      <c r="L71" s="98">
        <f t="shared" si="25"/>
        <v>0.55561265601452581</v>
      </c>
      <c r="M71" s="101">
        <f t="shared" si="34"/>
        <v>0.32888732006945343</v>
      </c>
      <c r="O71" s="100">
        <f t="shared" si="26"/>
        <v>2.1013850718879477</v>
      </c>
      <c r="P71" s="119">
        <f>IF('Temperature in bundle'!$P$4="Current = 1A per pair",2,IF($A71="","",('Temperature in bundle'!$Q$6-('Temperature in bundle'!$Q$6^2-4*(O71+Q$7)*'Temperature in bundle'!$Q$7)^0.5)/2/(O71+Q$7)))</f>
        <v>0.5145497695821688</v>
      </c>
      <c r="Q71" s="98">
        <f t="shared" si="27"/>
        <v>0.55636579095453798</v>
      </c>
      <c r="R71" s="101">
        <f t="shared" si="35"/>
        <v>0.32931651757543728</v>
      </c>
      <c r="T71" s="100">
        <f t="shared" si="28"/>
        <v>2.1013885848280425</v>
      </c>
      <c r="U71" s="119">
        <f>IF('Temperature in bundle'!$P$4="Current = 1A per pair",2,IF($A71="","",('Temperature in bundle'!$Q$6-('Temperature in bundle'!$Q$6^2-4*(T71+V$7)*'Temperature in bundle'!$Q$7)^0.5)/2/(T71+V$7)))</f>
        <v>0.5145497964078507</v>
      </c>
      <c r="V71" s="98">
        <f t="shared" si="29"/>
        <v>0.55636677905726384</v>
      </c>
      <c r="W71" s="101">
        <f t="shared" si="36"/>
        <v>0.32931708079017519</v>
      </c>
      <c r="Y71" s="100">
        <f t="shared" si="30"/>
        <v>2.1013885894379007</v>
      </c>
      <c r="Z71" s="119">
        <f>IF('Temperature in bundle'!$P$4="Current = 1A per pair",2,IF($A71="","",('Temperature in bundle'!$Q$6-('Temperature in bundle'!$Q$6^2-4*(Y71+AA$7)*'Temperature in bundle'!$Q$7)^0.5)/2/(Y71+AA$7)))</f>
        <v>0.51454979644921939</v>
      </c>
      <c r="AA71" s="98">
        <f t="shared" si="31"/>
        <v>0.55636678036723819</v>
      </c>
      <c r="AB71" s="101">
        <f t="shared" si="37"/>
        <v>0.32931708153714806</v>
      </c>
    </row>
    <row r="72" spans="1:28">
      <c r="A72">
        <f t="shared" si="38"/>
        <v>22</v>
      </c>
      <c r="B72" s="113">
        <v>3</v>
      </c>
      <c r="C72" s="113">
        <v>0</v>
      </c>
      <c r="D72" s="113">
        <f t="shared" si="40"/>
        <v>3</v>
      </c>
      <c r="E72" s="113">
        <f t="shared" si="32"/>
        <v>3</v>
      </c>
      <c r="F72" s="113">
        <f t="shared" si="32"/>
        <v>0</v>
      </c>
      <c r="G72" s="113">
        <f t="shared" si="39"/>
        <v>2.5166114784235831</v>
      </c>
      <c r="J72" s="116">
        <f t="shared" si="33"/>
        <v>2.0986931609674486</v>
      </c>
      <c r="K72" s="119">
        <f t="shared" si="24"/>
        <v>0.51453105392986931</v>
      </c>
      <c r="L72" s="98">
        <f t="shared" si="25"/>
        <v>0.55561265601452581</v>
      </c>
      <c r="M72" s="101">
        <f t="shared" si="34"/>
        <v>0.31898194912357514</v>
      </c>
      <c r="O72" s="100">
        <f t="shared" si="26"/>
        <v>2.1013039973843295</v>
      </c>
      <c r="P72" s="119">
        <f>IF('Temperature in bundle'!$P$4="Current = 1A per pair",2,IF($A72="","",('Temperature in bundle'!$Q$6-('Temperature in bundle'!$Q$6^2-4*(O72+Q$7)*'Temperature in bundle'!$Q$7)^0.5)/2/(O72+Q$7)))</f>
        <v>0.51454931454071084</v>
      </c>
      <c r="Q72" s="98">
        <f t="shared" si="27"/>
        <v>0.55634334154574572</v>
      </c>
      <c r="R72" s="101">
        <f t="shared" si="35"/>
        <v>0.31939822013392849</v>
      </c>
      <c r="T72" s="100">
        <f t="shared" si="28"/>
        <v>2.1013074045223075</v>
      </c>
      <c r="U72" s="119">
        <f>IF('Temperature in bundle'!$P$4="Current = 1A per pair",2,IF($A72="","",('Temperature in bundle'!$Q$6-('Temperature in bundle'!$Q$6^2-4*(T72+V$7)*'Temperature in bundle'!$Q$7)^0.5)/2/(T72+V$7)))</f>
        <v>0.5145493407724685</v>
      </c>
      <c r="V72" s="98">
        <f t="shared" si="29"/>
        <v>0.55634430034792726</v>
      </c>
      <c r="W72" s="101">
        <f t="shared" si="36"/>
        <v>0.31939876638586306</v>
      </c>
      <c r="Y72" s="100">
        <f t="shared" si="30"/>
        <v>2.101307408993327</v>
      </c>
      <c r="Z72" s="119">
        <f>IF('Temperature in bundle'!$P$4="Current = 1A per pair",2,IF($A72="","",('Temperature in bundle'!$Q$6-('Temperature in bundle'!$Q$6^2-4*(Y72+AA$7)*'Temperature in bundle'!$Q$7)^0.5)/2/(Y72+AA$7)))</f>
        <v>0.51454934081305781</v>
      </c>
      <c r="AA72" s="98">
        <f t="shared" si="31"/>
        <v>0.55634430161945136</v>
      </c>
      <c r="AB72" s="101">
        <f t="shared" si="37"/>
        <v>0.31939876711033877</v>
      </c>
    </row>
    <row r="73" spans="1:28">
      <c r="A73">
        <f t="shared" si="38"/>
        <v>23</v>
      </c>
      <c r="B73" s="113">
        <v>2.5</v>
      </c>
      <c r="C73" s="113">
        <f>SQRT(3)/2</f>
        <v>0.8660254037844386</v>
      </c>
      <c r="D73" s="113">
        <f t="shared" si="40"/>
        <v>2.6457513110645907</v>
      </c>
      <c r="E73" s="113">
        <f t="shared" si="32"/>
        <v>2.5</v>
      </c>
      <c r="F73" s="113">
        <f t="shared" si="32"/>
        <v>0.8660254037844386</v>
      </c>
      <c r="G73" s="113">
        <f t="shared" si="39"/>
        <v>2.0816659994661326</v>
      </c>
      <c r="J73" s="116">
        <f t="shared" si="33"/>
        <v>2.0986931609674486</v>
      </c>
      <c r="K73" s="119">
        <f t="shared" si="24"/>
        <v>0.51453105392986931</v>
      </c>
      <c r="L73" s="98">
        <f t="shared" si="25"/>
        <v>0.55561265601452581</v>
      </c>
      <c r="M73" s="101">
        <f t="shared" si="34"/>
        <v>0.33879269101533172</v>
      </c>
      <c r="O73" s="100">
        <f t="shared" si="26"/>
        <v>2.1014661463915654</v>
      </c>
      <c r="P73" s="119">
        <f>IF('Temperature in bundle'!$P$4="Current = 1A per pair",2,IF($A73="","",('Temperature in bundle'!$Q$6-('Temperature in bundle'!$Q$6^2-4*(O73+Q$7)*'Temperature in bundle'!$Q$7)^0.5)/2/(O73+Q$7)))</f>
        <v>0.51455022462526168</v>
      </c>
      <c r="Q73" s="98">
        <f t="shared" si="27"/>
        <v>0.55638824044366753</v>
      </c>
      <c r="R73" s="101">
        <f t="shared" si="35"/>
        <v>0.33923481501694608</v>
      </c>
      <c r="T73" s="100">
        <f t="shared" si="28"/>
        <v>2.1014697651337775</v>
      </c>
      <c r="U73" s="119">
        <f>IF('Temperature in bundle'!$P$4="Current = 1A per pair",2,IF($A73="","",('Temperature in bundle'!$Q$6-('Temperature in bundle'!$Q$6^2-4*(T73+V$7)*'Temperature in bundle'!$Q$7)^0.5)/2/(T73+V$7)))</f>
        <v>0.51455025204487281</v>
      </c>
      <c r="V73" s="98">
        <f t="shared" si="29"/>
        <v>0.55638925784714943</v>
      </c>
      <c r="W73" s="101">
        <f t="shared" si="36"/>
        <v>0.3392353951944872</v>
      </c>
      <c r="Y73" s="100">
        <f t="shared" si="30"/>
        <v>2.1014697698824745</v>
      </c>
      <c r="Z73" s="119">
        <f>IF('Temperature in bundle'!$P$4="Current = 1A per pair",2,IF($A73="","",('Temperature in bundle'!$Q$6-('Temperature in bundle'!$Q$6^2-4*(Y73+AA$7)*'Temperature in bundle'!$Q$7)^0.5)/2/(Y73+AA$7)))</f>
        <v>0.51455025208702065</v>
      </c>
      <c r="AA73" s="98">
        <f t="shared" si="31"/>
        <v>0.55638925919557358</v>
      </c>
      <c r="AB73" s="101">
        <f t="shared" si="37"/>
        <v>0.33923539596395735</v>
      </c>
    </row>
    <row r="74" spans="1:28">
      <c r="A74">
        <f t="shared" si="38"/>
        <v>24</v>
      </c>
      <c r="B74" s="113">
        <v>2</v>
      </c>
      <c r="C74" s="113">
        <f>SQRT(3)</f>
        <v>1.7320508075688772</v>
      </c>
      <c r="D74" s="113">
        <f t="shared" si="40"/>
        <v>2.6457513110645907</v>
      </c>
      <c r="E74" s="113">
        <f t="shared" si="32"/>
        <v>2</v>
      </c>
      <c r="F74" s="113">
        <f t="shared" si="32"/>
        <v>1.7320508075688772</v>
      </c>
      <c r="G74" s="113">
        <f t="shared" si="39"/>
        <v>2.0816659994661326</v>
      </c>
      <c r="J74" s="116">
        <f t="shared" si="33"/>
        <v>2.0986931609674486</v>
      </c>
      <c r="K74" s="119">
        <f t="shared" si="24"/>
        <v>0.51453105392986931</v>
      </c>
      <c r="L74" s="98">
        <f t="shared" si="25"/>
        <v>0.55561265601452581</v>
      </c>
      <c r="M74" s="101">
        <f t="shared" si="34"/>
        <v>0.33879269101533172</v>
      </c>
      <c r="O74" s="100">
        <f t="shared" si="26"/>
        <v>2.1014661463915654</v>
      </c>
      <c r="P74" s="119">
        <f>IF('Temperature in bundle'!$P$4="Current = 1A per pair",2,IF($A74="","",('Temperature in bundle'!$Q$6-('Temperature in bundle'!$Q$6^2-4*(O74+Q$7)*'Temperature in bundle'!$Q$7)^0.5)/2/(O74+Q$7)))</f>
        <v>0.51455022462526168</v>
      </c>
      <c r="Q74" s="98">
        <f t="shared" si="27"/>
        <v>0.55638824044366753</v>
      </c>
      <c r="R74" s="101">
        <f t="shared" si="35"/>
        <v>0.33923481501694608</v>
      </c>
      <c r="T74" s="100">
        <f t="shared" si="28"/>
        <v>2.1014697651337775</v>
      </c>
      <c r="U74" s="119">
        <f>IF('Temperature in bundle'!$P$4="Current = 1A per pair",2,IF($A74="","",('Temperature in bundle'!$Q$6-('Temperature in bundle'!$Q$6^2-4*(T74+V$7)*'Temperature in bundle'!$Q$7)^0.5)/2/(T74+V$7)))</f>
        <v>0.51455025204487281</v>
      </c>
      <c r="V74" s="98">
        <f t="shared" si="29"/>
        <v>0.55638925784714943</v>
      </c>
      <c r="W74" s="101">
        <f t="shared" si="36"/>
        <v>0.3392353951944872</v>
      </c>
      <c r="Y74" s="100">
        <f t="shared" si="30"/>
        <v>2.1014697698824745</v>
      </c>
      <c r="Z74" s="119">
        <f>IF('Temperature in bundle'!$P$4="Current = 1A per pair",2,IF($A74="","",('Temperature in bundle'!$Q$6-('Temperature in bundle'!$Q$6^2-4*(Y74+AA$7)*'Temperature in bundle'!$Q$7)^0.5)/2/(Y74+AA$7)))</f>
        <v>0.51455025208702065</v>
      </c>
      <c r="AA74" s="98">
        <f t="shared" si="31"/>
        <v>0.55638925919557358</v>
      </c>
      <c r="AB74" s="101">
        <f t="shared" si="37"/>
        <v>0.33923539596395735</v>
      </c>
    </row>
    <row r="75" spans="1:28">
      <c r="A75">
        <f t="shared" si="38"/>
        <v>25</v>
      </c>
      <c r="B75" s="113">
        <v>1.5</v>
      </c>
      <c r="C75" s="113">
        <f>SQRT(3)/2*3</f>
        <v>2.598076211353316</v>
      </c>
      <c r="D75" s="113">
        <f t="shared" si="40"/>
        <v>3</v>
      </c>
      <c r="E75" s="113">
        <f t="shared" si="32"/>
        <v>1.5</v>
      </c>
      <c r="F75" s="113">
        <f t="shared" si="32"/>
        <v>2.598076211353316</v>
      </c>
      <c r="G75" s="113">
        <f t="shared" si="39"/>
        <v>2.5166114784235831</v>
      </c>
      <c r="J75" s="116">
        <f t="shared" si="33"/>
        <v>2.0986931609674486</v>
      </c>
      <c r="K75" s="119">
        <f t="shared" si="24"/>
        <v>0.51453105392986931</v>
      </c>
      <c r="L75" s="98">
        <f t="shared" si="25"/>
        <v>0.55561265601452581</v>
      </c>
      <c r="M75" s="101">
        <f t="shared" si="34"/>
        <v>0.31898194912357514</v>
      </c>
      <c r="O75" s="100">
        <f t="shared" si="26"/>
        <v>2.1013039973843295</v>
      </c>
      <c r="P75" s="119">
        <f>IF('Temperature in bundle'!$P$4="Current = 1A per pair",2,IF($A75="","",('Temperature in bundle'!$Q$6-('Temperature in bundle'!$Q$6^2-4*(O75+Q$7)*'Temperature in bundle'!$Q$7)^0.5)/2/(O75+Q$7)))</f>
        <v>0.51454931454071084</v>
      </c>
      <c r="Q75" s="98">
        <f t="shared" si="27"/>
        <v>0.55634334154574572</v>
      </c>
      <c r="R75" s="101">
        <f t="shared" si="35"/>
        <v>0.31939822013392849</v>
      </c>
      <c r="T75" s="100">
        <f t="shared" si="28"/>
        <v>2.1013074045223075</v>
      </c>
      <c r="U75" s="119">
        <f>IF('Temperature in bundle'!$P$4="Current = 1A per pair",2,IF($A75="","",('Temperature in bundle'!$Q$6-('Temperature in bundle'!$Q$6^2-4*(T75+V$7)*'Temperature in bundle'!$Q$7)^0.5)/2/(T75+V$7)))</f>
        <v>0.5145493407724685</v>
      </c>
      <c r="V75" s="98">
        <f t="shared" si="29"/>
        <v>0.55634430034792726</v>
      </c>
      <c r="W75" s="101">
        <f t="shared" si="36"/>
        <v>0.31939876638586306</v>
      </c>
      <c r="Y75" s="100">
        <f t="shared" si="30"/>
        <v>2.101307408993327</v>
      </c>
      <c r="Z75" s="119">
        <f>IF('Temperature in bundle'!$P$4="Current = 1A per pair",2,IF($A75="","",('Temperature in bundle'!$Q$6-('Temperature in bundle'!$Q$6^2-4*(Y75+AA$7)*'Temperature in bundle'!$Q$7)^0.5)/2/(Y75+AA$7)))</f>
        <v>0.51454934081305781</v>
      </c>
      <c r="AA75" s="98">
        <f t="shared" si="31"/>
        <v>0.55634430161945136</v>
      </c>
      <c r="AB75" s="101">
        <f t="shared" si="37"/>
        <v>0.31939876711033877</v>
      </c>
    </row>
    <row r="76" spans="1:28">
      <c r="A76">
        <f t="shared" si="38"/>
        <v>26</v>
      </c>
      <c r="B76" s="113">
        <v>0.5</v>
      </c>
      <c r="C76" s="113">
        <f>SQRT(3)/2*3</f>
        <v>2.598076211353316</v>
      </c>
      <c r="D76" s="113">
        <f t="shared" si="40"/>
        <v>2.6457513110645907</v>
      </c>
      <c r="E76" s="113">
        <f t="shared" si="32"/>
        <v>0.5</v>
      </c>
      <c r="F76" s="113">
        <f t="shared" si="32"/>
        <v>2.598076211353316</v>
      </c>
      <c r="G76" s="113">
        <f t="shared" si="39"/>
        <v>2.3094010767585029</v>
      </c>
      <c r="J76" s="116">
        <f t="shared" si="33"/>
        <v>2.0986931609674486</v>
      </c>
      <c r="K76" s="119">
        <f t="shared" si="24"/>
        <v>0.51453105392986931</v>
      </c>
      <c r="L76" s="98">
        <f t="shared" si="25"/>
        <v>0.55561265601452581</v>
      </c>
      <c r="M76" s="101">
        <f t="shared" si="34"/>
        <v>0.32888732006945343</v>
      </c>
      <c r="O76" s="100">
        <f t="shared" si="26"/>
        <v>2.1013850718879477</v>
      </c>
      <c r="P76" s="119">
        <f>IF('Temperature in bundle'!$P$4="Current = 1A per pair",2,IF($A76="","",('Temperature in bundle'!$Q$6-('Temperature in bundle'!$Q$6^2-4*(O76+Q$7)*'Temperature in bundle'!$Q$7)^0.5)/2/(O76+Q$7)))</f>
        <v>0.5145497695821688</v>
      </c>
      <c r="Q76" s="98">
        <f t="shared" si="27"/>
        <v>0.55636579095453798</v>
      </c>
      <c r="R76" s="101">
        <f t="shared" si="35"/>
        <v>0.32931651757543728</v>
      </c>
      <c r="T76" s="100">
        <f t="shared" si="28"/>
        <v>2.1013885848280425</v>
      </c>
      <c r="U76" s="119">
        <f>IF('Temperature in bundle'!$P$4="Current = 1A per pair",2,IF($A76="","",('Temperature in bundle'!$Q$6-('Temperature in bundle'!$Q$6^2-4*(T76+V$7)*'Temperature in bundle'!$Q$7)^0.5)/2/(T76+V$7)))</f>
        <v>0.5145497964078507</v>
      </c>
      <c r="V76" s="98">
        <f t="shared" si="29"/>
        <v>0.55636677905726384</v>
      </c>
      <c r="W76" s="101">
        <f t="shared" si="36"/>
        <v>0.32931708079017519</v>
      </c>
      <c r="Y76" s="100">
        <f t="shared" si="30"/>
        <v>2.1013885894379007</v>
      </c>
      <c r="Z76" s="119">
        <f>IF('Temperature in bundle'!$P$4="Current = 1A per pair",2,IF($A76="","",('Temperature in bundle'!$Q$6-('Temperature in bundle'!$Q$6^2-4*(Y76+AA$7)*'Temperature in bundle'!$Q$7)^0.5)/2/(Y76+AA$7)))</f>
        <v>0.51454979644921939</v>
      </c>
      <c r="AA76" s="98">
        <f t="shared" si="31"/>
        <v>0.55636678036723819</v>
      </c>
      <c r="AB76" s="101">
        <f t="shared" si="37"/>
        <v>0.32931708153714806</v>
      </c>
    </row>
    <row r="77" spans="1:28">
      <c r="A77">
        <f t="shared" si="38"/>
        <v>27</v>
      </c>
      <c r="B77" s="113">
        <v>-0.5</v>
      </c>
      <c r="C77" s="113">
        <f t="shared" ref="C77:C78" si="41">SQRT(3)/2*3</f>
        <v>2.598076211353316</v>
      </c>
      <c r="D77" s="113">
        <f t="shared" si="40"/>
        <v>2.6457513110645907</v>
      </c>
      <c r="E77" s="113">
        <f t="shared" si="32"/>
        <v>-0.5</v>
      </c>
      <c r="F77" s="113">
        <f t="shared" si="32"/>
        <v>2.598076211353316</v>
      </c>
      <c r="G77" s="113">
        <f t="shared" si="39"/>
        <v>2.5166114784235831</v>
      </c>
      <c r="J77" s="116">
        <f t="shared" si="33"/>
        <v>2.0986931609674486</v>
      </c>
      <c r="K77" s="119">
        <f t="shared" si="24"/>
        <v>0.51453105392986931</v>
      </c>
      <c r="L77" s="98">
        <f t="shared" si="25"/>
        <v>0.55561265601452581</v>
      </c>
      <c r="M77" s="101">
        <f t="shared" si="34"/>
        <v>0.31898194912357514</v>
      </c>
      <c r="O77" s="100">
        <f t="shared" si="26"/>
        <v>2.1013039973843295</v>
      </c>
      <c r="P77" s="119">
        <f>IF('Temperature in bundle'!$P$4="Current = 1A per pair",2,IF($A77="","",('Temperature in bundle'!$Q$6-('Temperature in bundle'!$Q$6^2-4*(O77+Q$7)*'Temperature in bundle'!$Q$7)^0.5)/2/(O77+Q$7)))</f>
        <v>0.51454931454071084</v>
      </c>
      <c r="Q77" s="98">
        <f t="shared" si="27"/>
        <v>0.55634334154574572</v>
      </c>
      <c r="R77" s="101">
        <f t="shared" si="35"/>
        <v>0.31939822013392849</v>
      </c>
      <c r="T77" s="100">
        <f t="shared" si="28"/>
        <v>2.1013074045223075</v>
      </c>
      <c r="U77" s="119">
        <f>IF('Temperature in bundle'!$P$4="Current = 1A per pair",2,IF($A77="","",('Temperature in bundle'!$Q$6-('Temperature in bundle'!$Q$6^2-4*(T77+V$7)*'Temperature in bundle'!$Q$7)^0.5)/2/(T77+V$7)))</f>
        <v>0.5145493407724685</v>
      </c>
      <c r="V77" s="98">
        <f t="shared" si="29"/>
        <v>0.55634430034792726</v>
      </c>
      <c r="W77" s="101">
        <f t="shared" si="36"/>
        <v>0.31939876638586306</v>
      </c>
      <c r="Y77" s="100">
        <f t="shared" si="30"/>
        <v>2.101307408993327</v>
      </c>
      <c r="Z77" s="119">
        <f>IF('Temperature in bundle'!$P$4="Current = 1A per pair",2,IF($A77="","",('Temperature in bundle'!$Q$6-('Temperature in bundle'!$Q$6^2-4*(Y77+AA$7)*'Temperature in bundle'!$Q$7)^0.5)/2/(Y77+AA$7)))</f>
        <v>0.51454934081305781</v>
      </c>
      <c r="AA77" s="98">
        <f t="shared" si="31"/>
        <v>0.55634430161945136</v>
      </c>
      <c r="AB77" s="101">
        <f t="shared" si="37"/>
        <v>0.31939876711033877</v>
      </c>
    </row>
    <row r="78" spans="1:28">
      <c r="A78">
        <f t="shared" si="38"/>
        <v>28</v>
      </c>
      <c r="B78" s="113">
        <v>-1.5</v>
      </c>
      <c r="C78" s="113">
        <f t="shared" si="41"/>
        <v>2.598076211353316</v>
      </c>
      <c r="D78" s="113">
        <f t="shared" si="40"/>
        <v>3</v>
      </c>
      <c r="E78" s="113">
        <f t="shared" si="32"/>
        <v>-1.5</v>
      </c>
      <c r="F78" s="113">
        <f t="shared" si="32"/>
        <v>2.598076211353316</v>
      </c>
      <c r="G78" s="113">
        <f t="shared" si="39"/>
        <v>3.0550504633038931</v>
      </c>
      <c r="J78" s="116">
        <f t="shared" si="33"/>
        <v>2.0986931609674486</v>
      </c>
      <c r="K78" s="119">
        <f t="shared" si="24"/>
        <v>0.51453105392986931</v>
      </c>
      <c r="L78" s="98">
        <f t="shared" si="25"/>
        <v>0.55561265601452581</v>
      </c>
      <c r="M78" s="101">
        <f t="shared" si="34"/>
        <v>0.28926583628594033</v>
      </c>
      <c r="O78" s="100">
        <f t="shared" si="26"/>
        <v>2.1010607738734768</v>
      </c>
      <c r="P78" s="119">
        <f>IF('Temperature in bundle'!$P$4="Current = 1A per pair",2,IF($A78="","",('Temperature in bundle'!$Q$6-('Temperature in bundle'!$Q$6^2-4*(O78+Q$7)*'Temperature in bundle'!$Q$7)^0.5)/2/(O78+Q$7)))</f>
        <v>0.51454794942613591</v>
      </c>
      <c r="Q78" s="98">
        <f t="shared" si="27"/>
        <v>0.55627599380136705</v>
      </c>
      <c r="R78" s="101">
        <f t="shared" si="35"/>
        <v>0.28964332780940205</v>
      </c>
      <c r="T78" s="100">
        <f t="shared" si="28"/>
        <v>2.1010638636051033</v>
      </c>
      <c r="U78" s="119">
        <f>IF('Temperature in bundle'!$P$4="Current = 1A per pair",2,IF($A78="","",('Temperature in bundle'!$Q$6-('Temperature in bundle'!$Q$6^2-4*(T78+V$7)*'Temperature in bundle'!$Q$7)^0.5)/2/(T78+V$7)))</f>
        <v>0.5145479738761487</v>
      </c>
      <c r="V78" s="98">
        <f t="shared" si="29"/>
        <v>0.55627686470317894</v>
      </c>
      <c r="W78" s="101">
        <f t="shared" si="36"/>
        <v>0.28964382317292692</v>
      </c>
      <c r="Y78" s="100">
        <f t="shared" si="30"/>
        <v>2.1010638676596058</v>
      </c>
      <c r="Z78" s="119">
        <f>IF('Temperature in bundle'!$P$4="Current = 1A per pair",2,IF($A78="","",('Temperature in bundle'!$Q$6-('Temperature in bundle'!$Q$6^2-4*(Y78+AA$7)*'Temperature in bundle'!$Q$7)^0.5)/2/(Y78+AA$7)))</f>
        <v>0.51454797391440088</v>
      </c>
      <c r="AA78" s="98">
        <f t="shared" si="31"/>
        <v>0.5562768658593561</v>
      </c>
      <c r="AB78" s="101">
        <f t="shared" si="37"/>
        <v>0.28964382382991105</v>
      </c>
    </row>
    <row r="79" spans="1:28">
      <c r="A79">
        <f t="shared" si="38"/>
        <v>29</v>
      </c>
      <c r="B79" s="113">
        <v>-2</v>
      </c>
      <c r="C79" s="113">
        <f>SQRT(3)</f>
        <v>1.7320508075688772</v>
      </c>
      <c r="D79" s="113">
        <f t="shared" si="40"/>
        <v>2.6457513110645907</v>
      </c>
      <c r="E79" s="113">
        <f t="shared" si="32"/>
        <v>-2</v>
      </c>
      <c r="F79" s="113">
        <f t="shared" si="32"/>
        <v>1.7320508075688772</v>
      </c>
      <c r="G79" s="113">
        <f t="shared" si="39"/>
        <v>2.8867513459481287</v>
      </c>
      <c r="J79" s="116">
        <f t="shared" si="33"/>
        <v>2.0986931609674486</v>
      </c>
      <c r="K79" s="119">
        <f t="shared" si="24"/>
        <v>0.51453105392986931</v>
      </c>
      <c r="L79" s="98">
        <f t="shared" si="25"/>
        <v>0.55561265601452581</v>
      </c>
      <c r="M79" s="101">
        <f t="shared" si="34"/>
        <v>0.29917120723181861</v>
      </c>
      <c r="O79" s="100">
        <f t="shared" si="26"/>
        <v>2.1011418483770941</v>
      </c>
      <c r="P79" s="119">
        <f>IF('Temperature in bundle'!$P$4="Current = 1A per pair",2,IF($A79="","",('Temperature in bundle'!$Q$6-('Temperature in bundle'!$Q$6^2-4*(O79+Q$7)*'Temperature in bundle'!$Q$7)^0.5)/2/(O79+Q$7)))</f>
        <v>0.51454840446269356</v>
      </c>
      <c r="Q79" s="98">
        <f t="shared" si="27"/>
        <v>0.55629844296915909</v>
      </c>
      <c r="R79" s="101">
        <f t="shared" si="35"/>
        <v>0.29956162525091085</v>
      </c>
      <c r="T79" s="100">
        <f t="shared" si="28"/>
        <v>2.1011450439108379</v>
      </c>
      <c r="U79" s="119">
        <f>IF('Temperature in bundle'!$P$4="Current = 1A per pair",2,IF($A79="","",('Temperature in bundle'!$Q$6-('Temperature in bundle'!$Q$6^2-4*(T79+V$7)*'Temperature in bundle'!$Q$7)^0.5)/2/(T79+V$7)))</f>
        <v>0.51454842950661728</v>
      </c>
      <c r="V79" s="98">
        <f t="shared" si="29"/>
        <v>0.55629934317088481</v>
      </c>
      <c r="W79" s="101">
        <f t="shared" si="36"/>
        <v>0.29956213757723898</v>
      </c>
      <c r="Y79" s="100">
        <f t="shared" si="30"/>
        <v>2.1011450481041796</v>
      </c>
      <c r="Z79" s="119">
        <f>IF('Temperature in bundle'!$P$4="Current = 1A per pair",2,IF($A79="","",('Temperature in bundle'!$Q$6-('Temperature in bundle'!$Q$6^2-4*(Y79+AA$7)*'Temperature in bundle'!$Q$7)^0.5)/2/(Y79+AA$7)))</f>
        <v>0.51454842954564772</v>
      </c>
      <c r="AA79" s="98">
        <f t="shared" si="31"/>
        <v>0.5562993443655091</v>
      </c>
      <c r="AB79" s="101">
        <f t="shared" si="37"/>
        <v>0.29956213825672029</v>
      </c>
    </row>
    <row r="80" spans="1:28">
      <c r="A80">
        <f t="shared" si="38"/>
        <v>30</v>
      </c>
      <c r="B80" s="113">
        <v>-2.5</v>
      </c>
      <c r="C80" s="113">
        <f>SQRT(3)/2</f>
        <v>0.8660254037844386</v>
      </c>
      <c r="D80" s="113">
        <f t="shared" si="40"/>
        <v>2.6457513110645907</v>
      </c>
      <c r="E80" s="113">
        <f t="shared" si="32"/>
        <v>-2.5</v>
      </c>
      <c r="F80" s="113">
        <f t="shared" si="32"/>
        <v>0.8660254037844386</v>
      </c>
      <c r="G80" s="113">
        <f t="shared" si="39"/>
        <v>3.0550504633038935</v>
      </c>
      <c r="J80" s="116">
        <f t="shared" si="33"/>
        <v>2.0986931609674486</v>
      </c>
      <c r="K80" s="119">
        <f t="shared" si="24"/>
        <v>0.51453105392986931</v>
      </c>
      <c r="L80" s="98">
        <f t="shared" si="25"/>
        <v>0.55561265601452581</v>
      </c>
      <c r="M80" s="101">
        <f t="shared" si="34"/>
        <v>0.28926583628594033</v>
      </c>
      <c r="O80" s="100">
        <f t="shared" si="26"/>
        <v>2.1010607738734768</v>
      </c>
      <c r="P80" s="119">
        <f>IF('Temperature in bundle'!$P$4="Current = 1A per pair",2,IF($A80="","",('Temperature in bundle'!$Q$6-('Temperature in bundle'!$Q$6^2-4*(O80+Q$7)*'Temperature in bundle'!$Q$7)^0.5)/2/(O80+Q$7)))</f>
        <v>0.51454794942613591</v>
      </c>
      <c r="Q80" s="98">
        <f t="shared" si="27"/>
        <v>0.55627599380136705</v>
      </c>
      <c r="R80" s="101">
        <f t="shared" si="35"/>
        <v>0.28964332780940205</v>
      </c>
      <c r="T80" s="100">
        <f t="shared" si="28"/>
        <v>2.1010638636051033</v>
      </c>
      <c r="U80" s="119">
        <f>IF('Temperature in bundle'!$P$4="Current = 1A per pair",2,IF($A80="","",('Temperature in bundle'!$Q$6-('Temperature in bundle'!$Q$6^2-4*(T80+V$7)*'Temperature in bundle'!$Q$7)^0.5)/2/(T80+V$7)))</f>
        <v>0.5145479738761487</v>
      </c>
      <c r="V80" s="98">
        <f t="shared" si="29"/>
        <v>0.55627686470317894</v>
      </c>
      <c r="W80" s="101">
        <f t="shared" si="36"/>
        <v>0.28964382317292692</v>
      </c>
      <c r="Y80" s="100">
        <f t="shared" si="30"/>
        <v>2.1010638676596058</v>
      </c>
      <c r="Z80" s="119">
        <f>IF('Temperature in bundle'!$P$4="Current = 1A per pair",2,IF($A80="","",('Temperature in bundle'!$Q$6-('Temperature in bundle'!$Q$6^2-4*(Y80+AA$7)*'Temperature in bundle'!$Q$7)^0.5)/2/(Y80+AA$7)))</f>
        <v>0.51454797391440088</v>
      </c>
      <c r="AA80" s="98">
        <f t="shared" si="31"/>
        <v>0.5562768658593561</v>
      </c>
      <c r="AB80" s="101">
        <f t="shared" si="37"/>
        <v>0.289643823829911</v>
      </c>
    </row>
    <row r="81" spans="1:28">
      <c r="A81">
        <f t="shared" si="38"/>
        <v>31</v>
      </c>
      <c r="B81" s="113">
        <v>-3</v>
      </c>
      <c r="C81" s="113">
        <v>0</v>
      </c>
      <c r="D81" s="113">
        <f t="shared" si="40"/>
        <v>3</v>
      </c>
      <c r="E81" s="113">
        <f t="shared" si="32"/>
        <v>-3</v>
      </c>
      <c r="F81" s="113">
        <f t="shared" si="32"/>
        <v>0</v>
      </c>
      <c r="G81" s="113">
        <f t="shared" si="39"/>
        <v>3.5118845842842465</v>
      </c>
      <c r="J81" s="116">
        <f t="shared" si="33"/>
        <v>2.0986931609674486</v>
      </c>
      <c r="K81" s="119">
        <f t="shared" si="24"/>
        <v>0.51453105392986931</v>
      </c>
      <c r="L81" s="98">
        <f t="shared" si="25"/>
        <v>0.55561265601452581</v>
      </c>
      <c r="M81" s="101">
        <f t="shared" si="34"/>
        <v>0.25954972344830546</v>
      </c>
      <c r="O81" s="100">
        <f t="shared" si="26"/>
        <v>2.1008175503626232</v>
      </c>
      <c r="P81" s="119">
        <f>IF('Temperature in bundle'!$P$4="Current = 1A per pair",2,IF($A81="","",('Temperature in bundle'!$Q$6-('Temperature in bundle'!$Q$6^2-4*(O81+Q$7)*'Temperature in bundle'!$Q$7)^0.5)/2/(O81+Q$7)))</f>
        <v>0.51454658432626632</v>
      </c>
      <c r="Q81" s="98">
        <f t="shared" si="27"/>
        <v>0.55620864677998827</v>
      </c>
      <c r="R81" s="101">
        <f t="shared" si="35"/>
        <v>0.25988843548487556</v>
      </c>
      <c r="T81" s="100">
        <f t="shared" si="28"/>
        <v>2.1008203226878988</v>
      </c>
      <c r="U81" s="119">
        <f>IF('Temperature in bundle'!$P$4="Current = 1A per pair",2,IF($A81="","",('Temperature in bundle'!$Q$6-('Temperature in bundle'!$Q$6^2-4*(T81+V$7)*'Temperature in bundle'!$Q$7)^0.5)/2/(T81+V$7)))</f>
        <v>0.51454660699457133</v>
      </c>
      <c r="V81" s="98">
        <f t="shared" si="29"/>
        <v>0.55620942978331611</v>
      </c>
      <c r="W81" s="101">
        <f t="shared" si="36"/>
        <v>0.25988887995999072</v>
      </c>
      <c r="Y81" s="100">
        <f t="shared" si="30"/>
        <v>2.1008203263258847</v>
      </c>
      <c r="Z81" s="119">
        <f>IF('Temperature in bundle'!$P$4="Current = 1A per pair",2,IF($A81="","",('Temperature in bundle'!$Q$6-('Temperature in bundle'!$Q$6^2-4*(Y81+AA$7)*'Temperature in bundle'!$Q$7)^0.5)/2/(Y81+AA$7)))</f>
        <v>0.51454660703048438</v>
      </c>
      <c r="AA81" s="98">
        <f t="shared" si="31"/>
        <v>0.55620943082414465</v>
      </c>
      <c r="AB81" s="101">
        <f t="shared" si="37"/>
        <v>0.25988888054948323</v>
      </c>
    </row>
    <row r="82" spans="1:28">
      <c r="A82">
        <f t="shared" si="38"/>
        <v>32</v>
      </c>
      <c r="B82" s="113">
        <v>-2.5</v>
      </c>
      <c r="C82" s="113">
        <f>-SQRT(3)/2</f>
        <v>-0.8660254037844386</v>
      </c>
      <c r="D82" s="113">
        <f t="shared" si="40"/>
        <v>2.6457513110645907</v>
      </c>
      <c r="E82" s="113">
        <f t="shared" si="32"/>
        <v>-2.5</v>
      </c>
      <c r="F82" s="113">
        <f t="shared" si="32"/>
        <v>-0.8660254037844386</v>
      </c>
      <c r="G82" s="113">
        <f t="shared" si="39"/>
        <v>3.2145502536643185</v>
      </c>
      <c r="J82" s="116">
        <f t="shared" si="33"/>
        <v>2.0986931609674486</v>
      </c>
      <c r="K82" s="119">
        <f t="shared" si="24"/>
        <v>0.51453105392986931</v>
      </c>
      <c r="L82" s="98">
        <f t="shared" si="25"/>
        <v>0.55561265601452581</v>
      </c>
      <c r="M82" s="101">
        <f t="shared" si="34"/>
        <v>0.27936046534006204</v>
      </c>
      <c r="O82" s="100">
        <f t="shared" si="26"/>
        <v>2.1009796993698586</v>
      </c>
      <c r="P82" s="119">
        <f>IF('Temperature in bundle'!$P$4="Current = 1A per pair",2,IF($A82="","",('Temperature in bundle'!$Q$6-('Temperature in bundle'!$Q$6^2-4*(O82+Q$7)*'Temperature in bundle'!$Q$7)^0.5)/2/(O82+Q$7)))</f>
        <v>0.5145474943912125</v>
      </c>
      <c r="Q82" s="98">
        <f t="shared" si="27"/>
        <v>0.55625354471390898</v>
      </c>
      <c r="R82" s="101">
        <f t="shared" si="35"/>
        <v>0.27972503036789326</v>
      </c>
      <c r="T82" s="100">
        <f t="shared" si="28"/>
        <v>2.1009826832993683</v>
      </c>
      <c r="U82" s="119">
        <f>IF('Temperature in bundle'!$P$4="Current = 1A per pair",2,IF($A82="","",('Temperature in bundle'!$Q$6-('Temperature in bundle'!$Q$6^2-4*(T82+V$7)*'Temperature in bundle'!$Q$7)^0.5)/2/(T82+V$7)))</f>
        <v>0.51454751824731781</v>
      </c>
      <c r="V82" s="98">
        <f t="shared" si="29"/>
        <v>0.55625438631601487</v>
      </c>
      <c r="W82" s="101">
        <f t="shared" si="36"/>
        <v>0.27972550876861485</v>
      </c>
      <c r="Y82" s="100">
        <f t="shared" si="30"/>
        <v>2.1009826872150321</v>
      </c>
      <c r="Z82" s="119">
        <f>IF('Temperature in bundle'!$P$4="Current = 1A per pair",2,IF($A82="","",('Temperature in bundle'!$Q$6-('Temperature in bundle'!$Q$6^2-4*(Y82+AA$7)*'Temperature in bundle'!$Q$7)^0.5)/2/(Y82+AA$7)))</f>
        <v>0.51454751828479039</v>
      </c>
      <c r="AA82" s="98">
        <f t="shared" si="31"/>
        <v>0.55625438743374267</v>
      </c>
      <c r="AB82" s="101">
        <f t="shared" si="37"/>
        <v>0.27972550940310176</v>
      </c>
    </row>
    <row r="83" spans="1:28">
      <c r="A83">
        <f t="shared" si="38"/>
        <v>33</v>
      </c>
      <c r="B83" s="113">
        <v>-2</v>
      </c>
      <c r="C83" s="113">
        <f>-SQRT(3)</f>
        <v>-1.7320508075688772</v>
      </c>
      <c r="D83" s="113">
        <f t="shared" si="40"/>
        <v>2.6457513110645907</v>
      </c>
      <c r="E83" s="113">
        <f t="shared" si="32"/>
        <v>-2</v>
      </c>
      <c r="F83" s="113">
        <f t="shared" si="32"/>
        <v>-1.7320508075688772</v>
      </c>
      <c r="G83" s="113">
        <f t="shared" si="39"/>
        <v>3.214550253664318</v>
      </c>
      <c r="J83" s="116">
        <f t="shared" si="33"/>
        <v>2.0986931609674486</v>
      </c>
      <c r="K83" s="119">
        <f t="shared" si="24"/>
        <v>0.51453105392986931</v>
      </c>
      <c r="L83" s="98">
        <f t="shared" si="25"/>
        <v>0.55561265601452581</v>
      </c>
      <c r="M83" s="101">
        <f t="shared" si="34"/>
        <v>0.27936046534006204</v>
      </c>
      <c r="O83" s="100">
        <f t="shared" si="26"/>
        <v>2.1009796993698586</v>
      </c>
      <c r="P83" s="119">
        <f>IF('Temperature in bundle'!$P$4="Current = 1A per pair",2,IF($A83="","",('Temperature in bundle'!$Q$6-('Temperature in bundle'!$Q$6^2-4*(O83+Q$7)*'Temperature in bundle'!$Q$7)^0.5)/2/(O83+Q$7)))</f>
        <v>0.5145474943912125</v>
      </c>
      <c r="Q83" s="98">
        <f t="shared" si="27"/>
        <v>0.55625354471390898</v>
      </c>
      <c r="R83" s="101">
        <f t="shared" si="35"/>
        <v>0.27972503036789326</v>
      </c>
      <c r="T83" s="100">
        <f t="shared" si="28"/>
        <v>2.1009826832993683</v>
      </c>
      <c r="U83" s="119">
        <f>IF('Temperature in bundle'!$P$4="Current = 1A per pair",2,IF($A83="","",('Temperature in bundle'!$Q$6-('Temperature in bundle'!$Q$6^2-4*(T83+V$7)*'Temperature in bundle'!$Q$7)^0.5)/2/(T83+V$7)))</f>
        <v>0.51454751824731781</v>
      </c>
      <c r="V83" s="98">
        <f t="shared" si="29"/>
        <v>0.55625438631601487</v>
      </c>
      <c r="W83" s="101">
        <f t="shared" si="36"/>
        <v>0.27972550876861485</v>
      </c>
      <c r="Y83" s="100">
        <f t="shared" si="30"/>
        <v>2.1009826872150321</v>
      </c>
      <c r="Z83" s="119">
        <f>IF('Temperature in bundle'!$P$4="Current = 1A per pair",2,IF($A83="","",('Temperature in bundle'!$Q$6-('Temperature in bundle'!$Q$6^2-4*(Y83+AA$7)*'Temperature in bundle'!$Q$7)^0.5)/2/(Y83+AA$7)))</f>
        <v>0.51454751828479039</v>
      </c>
      <c r="AA83" s="98">
        <f t="shared" si="31"/>
        <v>0.55625438743374267</v>
      </c>
      <c r="AB83" s="101">
        <f t="shared" si="37"/>
        <v>0.27972550940310176</v>
      </c>
    </row>
    <row r="84" spans="1:28">
      <c r="A84">
        <f t="shared" si="38"/>
        <v>34</v>
      </c>
      <c r="B84" s="113">
        <v>-1.5</v>
      </c>
      <c r="C84" s="113">
        <f>-SQRT(3)/2*3</f>
        <v>-2.598076211353316</v>
      </c>
      <c r="D84" s="113">
        <f t="shared" si="40"/>
        <v>3</v>
      </c>
      <c r="E84" s="113">
        <f t="shared" si="32"/>
        <v>-1.5</v>
      </c>
      <c r="F84" s="113">
        <f t="shared" si="32"/>
        <v>-2.598076211353316</v>
      </c>
      <c r="G84" s="113">
        <f t="shared" si="39"/>
        <v>3.5118845842842465</v>
      </c>
      <c r="J84" s="116">
        <f t="shared" si="33"/>
        <v>2.0986931609674486</v>
      </c>
      <c r="K84" s="119">
        <f t="shared" si="24"/>
        <v>0.51453105392986931</v>
      </c>
      <c r="L84" s="98">
        <f t="shared" si="25"/>
        <v>0.55561265601452581</v>
      </c>
      <c r="M84" s="101">
        <f t="shared" si="34"/>
        <v>0.25954972344830546</v>
      </c>
      <c r="O84" s="100">
        <f t="shared" si="26"/>
        <v>2.1008175503626232</v>
      </c>
      <c r="P84" s="119">
        <f>IF('Temperature in bundle'!$P$4="Current = 1A per pair",2,IF($A84="","",('Temperature in bundle'!$Q$6-('Temperature in bundle'!$Q$6^2-4*(O84+Q$7)*'Temperature in bundle'!$Q$7)^0.5)/2/(O84+Q$7)))</f>
        <v>0.51454658432626632</v>
      </c>
      <c r="Q84" s="98">
        <f t="shared" si="27"/>
        <v>0.55620864677998827</v>
      </c>
      <c r="R84" s="101">
        <f t="shared" si="35"/>
        <v>0.25988843548487556</v>
      </c>
      <c r="T84" s="100">
        <f t="shared" si="28"/>
        <v>2.1008203226878988</v>
      </c>
      <c r="U84" s="119">
        <f>IF('Temperature in bundle'!$P$4="Current = 1A per pair",2,IF($A84="","",('Temperature in bundle'!$Q$6-('Temperature in bundle'!$Q$6^2-4*(T84+V$7)*'Temperature in bundle'!$Q$7)^0.5)/2/(T84+V$7)))</f>
        <v>0.51454660699457133</v>
      </c>
      <c r="V84" s="98">
        <f t="shared" si="29"/>
        <v>0.55620942978331611</v>
      </c>
      <c r="W84" s="101">
        <f t="shared" si="36"/>
        <v>0.25988887995999072</v>
      </c>
      <c r="Y84" s="100">
        <f t="shared" si="30"/>
        <v>2.1008203263258847</v>
      </c>
      <c r="Z84" s="119">
        <f>IF('Temperature in bundle'!$P$4="Current = 1A per pair",2,IF($A84="","",('Temperature in bundle'!$Q$6-('Temperature in bundle'!$Q$6^2-4*(Y84+AA$7)*'Temperature in bundle'!$Q$7)^0.5)/2/(Y84+AA$7)))</f>
        <v>0.51454660703048438</v>
      </c>
      <c r="AA84" s="98">
        <f t="shared" si="31"/>
        <v>0.55620943082414465</v>
      </c>
      <c r="AB84" s="101">
        <f t="shared" si="37"/>
        <v>0.25988888054948323</v>
      </c>
    </row>
    <row r="85" spans="1:28">
      <c r="A85">
        <f t="shared" si="38"/>
        <v>35</v>
      </c>
      <c r="B85" s="113">
        <v>-0.5</v>
      </c>
      <c r="C85" s="113">
        <f>-SQRT(3)/2*3</f>
        <v>-2.598076211353316</v>
      </c>
      <c r="D85" s="113">
        <f t="shared" si="40"/>
        <v>2.6457513110645907</v>
      </c>
      <c r="E85" s="113">
        <f t="shared" si="32"/>
        <v>-0.5</v>
      </c>
      <c r="F85" s="113">
        <f t="shared" si="32"/>
        <v>-2.598076211353316</v>
      </c>
      <c r="G85" s="113">
        <f t="shared" si="39"/>
        <v>3.0550504633038935</v>
      </c>
      <c r="J85" s="116">
        <f t="shared" si="33"/>
        <v>2.0986931609674486</v>
      </c>
      <c r="K85" s="119">
        <f t="shared" si="24"/>
        <v>0.51453105392986931</v>
      </c>
      <c r="L85" s="98">
        <f t="shared" si="25"/>
        <v>0.55561265601452581</v>
      </c>
      <c r="M85" s="101">
        <f t="shared" si="34"/>
        <v>0.28926583628594033</v>
      </c>
      <c r="O85" s="100">
        <f t="shared" si="26"/>
        <v>2.1010607738734768</v>
      </c>
      <c r="P85" s="119">
        <f>IF('Temperature in bundle'!$P$4="Current = 1A per pair",2,IF($A85="","",('Temperature in bundle'!$Q$6-('Temperature in bundle'!$Q$6^2-4*(O85+Q$7)*'Temperature in bundle'!$Q$7)^0.5)/2/(O85+Q$7)))</f>
        <v>0.51454794942613591</v>
      </c>
      <c r="Q85" s="98">
        <f t="shared" si="27"/>
        <v>0.55627599380136705</v>
      </c>
      <c r="R85" s="101">
        <f t="shared" si="35"/>
        <v>0.28964332780940205</v>
      </c>
      <c r="T85" s="100">
        <f t="shared" si="28"/>
        <v>2.1010638636051033</v>
      </c>
      <c r="U85" s="119">
        <f>IF('Temperature in bundle'!$P$4="Current = 1A per pair",2,IF($A85="","",('Temperature in bundle'!$Q$6-('Temperature in bundle'!$Q$6^2-4*(T85+V$7)*'Temperature in bundle'!$Q$7)^0.5)/2/(T85+V$7)))</f>
        <v>0.5145479738761487</v>
      </c>
      <c r="V85" s="98">
        <f t="shared" si="29"/>
        <v>0.55627686470317894</v>
      </c>
      <c r="W85" s="101">
        <f t="shared" si="36"/>
        <v>0.28964382317292692</v>
      </c>
      <c r="Y85" s="100">
        <f t="shared" si="30"/>
        <v>2.1010638676596058</v>
      </c>
      <c r="Z85" s="119">
        <f>IF('Temperature in bundle'!$P$4="Current = 1A per pair",2,IF($A85="","",('Temperature in bundle'!$Q$6-('Temperature in bundle'!$Q$6^2-4*(Y85+AA$7)*'Temperature in bundle'!$Q$7)^0.5)/2/(Y85+AA$7)))</f>
        <v>0.51454797391440088</v>
      </c>
      <c r="AA85" s="98">
        <f t="shared" si="31"/>
        <v>0.5562768658593561</v>
      </c>
      <c r="AB85" s="101">
        <f t="shared" si="37"/>
        <v>0.289643823829911</v>
      </c>
    </row>
    <row r="86" spans="1:28">
      <c r="A86">
        <f t="shared" si="38"/>
        <v>36</v>
      </c>
      <c r="B86" s="113">
        <v>0.5</v>
      </c>
      <c r="C86" s="113">
        <f>-SQRT(3)/2*3</f>
        <v>-2.598076211353316</v>
      </c>
      <c r="D86" s="113">
        <f t="shared" si="40"/>
        <v>2.6457513110645907</v>
      </c>
      <c r="E86" s="113">
        <f t="shared" si="32"/>
        <v>0.5</v>
      </c>
      <c r="F86" s="113">
        <f t="shared" si="32"/>
        <v>-2.598076211353316</v>
      </c>
      <c r="G86" s="113">
        <f t="shared" si="39"/>
        <v>2.8867513459481291</v>
      </c>
      <c r="J86" s="116">
        <f t="shared" si="33"/>
        <v>2.0986931609674486</v>
      </c>
      <c r="K86" s="119">
        <f t="shared" si="24"/>
        <v>0.51453105392986931</v>
      </c>
      <c r="L86" s="98">
        <f t="shared" si="25"/>
        <v>0.55561265601452581</v>
      </c>
      <c r="M86" s="101">
        <f t="shared" si="34"/>
        <v>0.29917120723181856</v>
      </c>
      <c r="O86" s="100">
        <f t="shared" si="26"/>
        <v>2.1011418483770941</v>
      </c>
      <c r="P86" s="119">
        <f>IF('Temperature in bundle'!$P$4="Current = 1A per pair",2,IF($A86="","",('Temperature in bundle'!$Q$6-('Temperature in bundle'!$Q$6^2-4*(O86+Q$7)*'Temperature in bundle'!$Q$7)^0.5)/2/(O86+Q$7)))</f>
        <v>0.51454840446269356</v>
      </c>
      <c r="Q86" s="98">
        <f t="shared" si="27"/>
        <v>0.55629844296915909</v>
      </c>
      <c r="R86" s="101">
        <f t="shared" si="35"/>
        <v>0.29956162525091085</v>
      </c>
      <c r="T86" s="100">
        <f t="shared" si="28"/>
        <v>2.1011450439108379</v>
      </c>
      <c r="U86" s="119">
        <f>IF('Temperature in bundle'!$P$4="Current = 1A per pair",2,IF($A86="","",('Temperature in bundle'!$Q$6-('Temperature in bundle'!$Q$6^2-4*(T86+V$7)*'Temperature in bundle'!$Q$7)^0.5)/2/(T86+V$7)))</f>
        <v>0.51454842950661728</v>
      </c>
      <c r="V86" s="98">
        <f t="shared" si="29"/>
        <v>0.55629934317088481</v>
      </c>
      <c r="W86" s="101">
        <f t="shared" si="36"/>
        <v>0.29956213757723893</v>
      </c>
      <c r="Y86" s="100">
        <f t="shared" si="30"/>
        <v>2.1011450481041796</v>
      </c>
      <c r="Z86" s="119">
        <f>IF('Temperature in bundle'!$P$4="Current = 1A per pair",2,IF($A86="","",('Temperature in bundle'!$Q$6-('Temperature in bundle'!$Q$6^2-4*(Y86+AA$7)*'Temperature in bundle'!$Q$7)^0.5)/2/(Y86+AA$7)))</f>
        <v>0.51454842954564772</v>
      </c>
      <c r="AA86" s="98">
        <f t="shared" si="31"/>
        <v>0.5562993443655091</v>
      </c>
      <c r="AB86" s="101">
        <f t="shared" si="37"/>
        <v>0.29956213825672029</v>
      </c>
    </row>
    <row r="87" spans="1:28">
      <c r="A87">
        <f t="shared" si="38"/>
        <v>37</v>
      </c>
      <c r="B87" s="113">
        <v>1.5</v>
      </c>
      <c r="C87" s="113">
        <f>-SQRT(3)/2*3</f>
        <v>-2.598076211353316</v>
      </c>
      <c r="D87" s="113">
        <f t="shared" si="40"/>
        <v>3</v>
      </c>
      <c r="E87" s="113">
        <f t="shared" si="32"/>
        <v>1.5</v>
      </c>
      <c r="F87" s="113">
        <f t="shared" si="32"/>
        <v>-2.598076211353316</v>
      </c>
      <c r="G87" s="113">
        <f t="shared" si="39"/>
        <v>3.0550504633038935</v>
      </c>
      <c r="J87" s="116">
        <f t="shared" si="33"/>
        <v>2.0986931609674486</v>
      </c>
      <c r="K87" s="119">
        <f t="shared" si="24"/>
        <v>0.51453105392986931</v>
      </c>
      <c r="L87" s="98">
        <f t="shared" si="25"/>
        <v>0.55561265601452581</v>
      </c>
      <c r="M87" s="101">
        <f t="shared" si="34"/>
        <v>0.28926583628594033</v>
      </c>
      <c r="O87" s="100">
        <f t="shared" si="26"/>
        <v>2.1010607738734768</v>
      </c>
      <c r="P87" s="119">
        <f>IF('Temperature in bundle'!$P$4="Current = 1A per pair",2,IF($A87="","",('Temperature in bundle'!$Q$6-('Temperature in bundle'!$Q$6^2-4*(O87+Q$7)*'Temperature in bundle'!$Q$7)^0.5)/2/(O87+Q$7)))</f>
        <v>0.51454794942613591</v>
      </c>
      <c r="Q87" s="98">
        <f t="shared" si="27"/>
        <v>0.55627599380136705</v>
      </c>
      <c r="R87" s="101">
        <f t="shared" si="35"/>
        <v>0.28964332780940205</v>
      </c>
      <c r="T87" s="100">
        <f t="shared" si="28"/>
        <v>2.1010638636051033</v>
      </c>
      <c r="U87" s="119">
        <f>IF('Temperature in bundle'!$P$4="Current = 1A per pair",2,IF($A87="","",('Temperature in bundle'!$Q$6-('Temperature in bundle'!$Q$6^2-4*(T87+V$7)*'Temperature in bundle'!$Q$7)^0.5)/2/(T87+V$7)))</f>
        <v>0.5145479738761487</v>
      </c>
      <c r="V87" s="98">
        <f t="shared" si="29"/>
        <v>0.55627686470317894</v>
      </c>
      <c r="W87" s="101">
        <f t="shared" si="36"/>
        <v>0.28964382317292692</v>
      </c>
      <c r="Y87" s="100">
        <f t="shared" si="30"/>
        <v>2.1010638676596058</v>
      </c>
      <c r="Z87" s="119">
        <f>IF('Temperature in bundle'!$P$4="Current = 1A per pair",2,IF($A87="","",('Temperature in bundle'!$Q$6-('Temperature in bundle'!$Q$6^2-4*(Y87+AA$7)*'Temperature in bundle'!$Q$7)^0.5)/2/(Y87+AA$7)))</f>
        <v>0.51454797391440088</v>
      </c>
      <c r="AA87" s="98">
        <f t="shared" si="31"/>
        <v>0.5562768658593561</v>
      </c>
      <c r="AB87" s="101">
        <f t="shared" si="37"/>
        <v>0.289643823829911</v>
      </c>
    </row>
    <row r="88" spans="1:28">
      <c r="A88">
        <f t="shared" si="38"/>
        <v>38</v>
      </c>
      <c r="B88" s="113">
        <v>2.5</v>
      </c>
      <c r="C88" s="113">
        <f>-SQRT(3)/2*3</f>
        <v>-2.598076211353316</v>
      </c>
      <c r="D88" s="113">
        <f t="shared" si="40"/>
        <v>3.6055512754639891</v>
      </c>
      <c r="E88" s="113">
        <f t="shared" si="32"/>
        <v>2.5</v>
      </c>
      <c r="F88" s="113">
        <f t="shared" si="32"/>
        <v>-2.598076211353316</v>
      </c>
      <c r="G88" s="113">
        <f t="shared" si="39"/>
        <v>3.5118845842842465</v>
      </c>
      <c r="J88" s="116">
        <f t="shared" si="33"/>
        <v>2.0986931609674486</v>
      </c>
      <c r="K88" s="119">
        <f t="shared" si="24"/>
        <v>0.51453105392986931</v>
      </c>
      <c r="L88" s="98">
        <f t="shared" si="25"/>
        <v>0.55561265601452581</v>
      </c>
      <c r="M88" s="101">
        <f t="shared" si="34"/>
        <v>0.25954972344830546</v>
      </c>
      <c r="O88" s="100">
        <f t="shared" si="26"/>
        <v>2.1008175503626232</v>
      </c>
      <c r="P88" s="119">
        <f>IF('Temperature in bundle'!$P$4="Current = 1A per pair",2,IF($A88="","",('Temperature in bundle'!$Q$6-('Temperature in bundle'!$Q$6^2-4*(O88+Q$7)*'Temperature in bundle'!$Q$7)^0.5)/2/(O88+Q$7)))</f>
        <v>0.51454658432626632</v>
      </c>
      <c r="Q88" s="98">
        <f t="shared" si="27"/>
        <v>0.55620864677998827</v>
      </c>
      <c r="R88" s="101">
        <f t="shared" si="35"/>
        <v>0.25988843548487556</v>
      </c>
      <c r="T88" s="100">
        <f t="shared" si="28"/>
        <v>2.1008203226878988</v>
      </c>
      <c r="U88" s="119">
        <f>IF('Temperature in bundle'!$P$4="Current = 1A per pair",2,IF($A88="","",('Temperature in bundle'!$Q$6-('Temperature in bundle'!$Q$6^2-4*(T88+V$7)*'Temperature in bundle'!$Q$7)^0.5)/2/(T88+V$7)))</f>
        <v>0.51454660699457133</v>
      </c>
      <c r="V88" s="98">
        <f t="shared" si="29"/>
        <v>0.55620942978331611</v>
      </c>
      <c r="W88" s="101">
        <f t="shared" si="36"/>
        <v>0.25988887995999072</v>
      </c>
      <c r="Y88" s="100">
        <f t="shared" si="30"/>
        <v>2.1008203263258847</v>
      </c>
      <c r="Z88" s="119">
        <f>IF('Temperature in bundle'!$P$4="Current = 1A per pair",2,IF($A88="","",('Temperature in bundle'!$Q$6-('Temperature in bundle'!$Q$6^2-4*(Y88+AA$7)*'Temperature in bundle'!$Q$7)^0.5)/2/(Y88+AA$7)))</f>
        <v>0.51454660703048438</v>
      </c>
      <c r="AA88" s="98">
        <f t="shared" si="31"/>
        <v>0.55620943082414465</v>
      </c>
      <c r="AB88" s="101">
        <f t="shared" si="37"/>
        <v>0.25988888054948323</v>
      </c>
    </row>
    <row r="89" spans="1:28">
      <c r="A89">
        <f t="shared" si="38"/>
        <v>39</v>
      </c>
      <c r="B89" s="113">
        <v>3</v>
      </c>
      <c r="C89" s="113">
        <f>-SQRT(3)</f>
        <v>-1.7320508075688772</v>
      </c>
      <c r="D89" s="113">
        <f t="shared" si="40"/>
        <v>3.4641016151377544</v>
      </c>
      <c r="E89" s="113">
        <f t="shared" si="32"/>
        <v>3</v>
      </c>
      <c r="F89" s="113">
        <f t="shared" si="32"/>
        <v>-1.7320508075688772</v>
      </c>
      <c r="G89" s="113">
        <f t="shared" si="39"/>
        <v>3.214550253664318</v>
      </c>
      <c r="J89" s="116">
        <f t="shared" si="33"/>
        <v>2.0986931609674486</v>
      </c>
      <c r="K89" s="119">
        <f t="shared" si="24"/>
        <v>0.51453105392986931</v>
      </c>
      <c r="L89" s="98">
        <f t="shared" si="25"/>
        <v>0.55561265601452581</v>
      </c>
      <c r="M89" s="101">
        <f t="shared" si="34"/>
        <v>0.27936046534006204</v>
      </c>
      <c r="O89" s="100">
        <f t="shared" si="26"/>
        <v>2.1009796993698586</v>
      </c>
      <c r="P89" s="119">
        <f>IF('Temperature in bundle'!$P$4="Current = 1A per pair",2,IF($A89="","",('Temperature in bundle'!$Q$6-('Temperature in bundle'!$Q$6^2-4*(O89+Q$7)*'Temperature in bundle'!$Q$7)^0.5)/2/(O89+Q$7)))</f>
        <v>0.5145474943912125</v>
      </c>
      <c r="Q89" s="98">
        <f t="shared" si="27"/>
        <v>0.55625354471390898</v>
      </c>
      <c r="R89" s="101">
        <f t="shared" si="35"/>
        <v>0.27972503036789326</v>
      </c>
      <c r="T89" s="100">
        <f t="shared" si="28"/>
        <v>2.1009826832993683</v>
      </c>
      <c r="U89" s="119">
        <f>IF('Temperature in bundle'!$P$4="Current = 1A per pair",2,IF($A89="","",('Temperature in bundle'!$Q$6-('Temperature in bundle'!$Q$6^2-4*(T89+V$7)*'Temperature in bundle'!$Q$7)^0.5)/2/(T89+V$7)))</f>
        <v>0.51454751824731781</v>
      </c>
      <c r="V89" s="98">
        <f t="shared" si="29"/>
        <v>0.55625438631601487</v>
      </c>
      <c r="W89" s="101">
        <f t="shared" si="36"/>
        <v>0.27972550876861485</v>
      </c>
      <c r="Y89" s="100">
        <f t="shared" si="30"/>
        <v>2.1009826872150321</v>
      </c>
      <c r="Z89" s="119">
        <f>IF('Temperature in bundle'!$P$4="Current = 1A per pair",2,IF($A89="","",('Temperature in bundle'!$Q$6-('Temperature in bundle'!$Q$6^2-4*(Y89+AA$7)*'Temperature in bundle'!$Q$7)^0.5)/2/(Y89+AA$7)))</f>
        <v>0.51454751828479039</v>
      </c>
      <c r="AA89" s="98">
        <f t="shared" si="31"/>
        <v>0.55625438743374267</v>
      </c>
      <c r="AB89" s="101">
        <f t="shared" si="37"/>
        <v>0.27972550940310176</v>
      </c>
    </row>
    <row r="90" spans="1:28">
      <c r="A90">
        <f t="shared" si="38"/>
        <v>40</v>
      </c>
      <c r="B90" s="113">
        <v>3.5</v>
      </c>
      <c r="C90" s="113">
        <f>-SQRT(3)/2</f>
        <v>-0.8660254037844386</v>
      </c>
      <c r="D90" s="113">
        <f t="shared" si="40"/>
        <v>3.6055512754639891</v>
      </c>
      <c r="E90" s="113">
        <f t="shared" si="32"/>
        <v>3.5</v>
      </c>
      <c r="F90" s="113">
        <f t="shared" si="32"/>
        <v>-0.8660254037844386</v>
      </c>
      <c r="G90" s="113">
        <f t="shared" si="39"/>
        <v>3.2145502536643185</v>
      </c>
      <c r="J90" s="116">
        <f t="shared" si="33"/>
        <v>2.0986931609674486</v>
      </c>
      <c r="K90" s="119">
        <f t="shared" si="24"/>
        <v>0.51453105392986931</v>
      </c>
      <c r="L90" s="98">
        <f t="shared" si="25"/>
        <v>0.55561265601452581</v>
      </c>
      <c r="M90" s="101">
        <f t="shared" si="34"/>
        <v>0.27936046534006204</v>
      </c>
      <c r="O90" s="100">
        <f t="shared" si="26"/>
        <v>2.1009796993698586</v>
      </c>
      <c r="P90" s="119">
        <f>IF('Temperature in bundle'!$P$4="Current = 1A per pair",2,IF($A90="","",('Temperature in bundle'!$Q$6-('Temperature in bundle'!$Q$6^2-4*(O90+Q$7)*'Temperature in bundle'!$Q$7)^0.5)/2/(O90+Q$7)))</f>
        <v>0.5145474943912125</v>
      </c>
      <c r="Q90" s="98">
        <f t="shared" si="27"/>
        <v>0.55625354471390898</v>
      </c>
      <c r="R90" s="101">
        <f t="shared" si="35"/>
        <v>0.27972503036789326</v>
      </c>
      <c r="T90" s="100">
        <f t="shared" si="28"/>
        <v>2.1009826832993683</v>
      </c>
      <c r="U90" s="119">
        <f>IF('Temperature in bundle'!$P$4="Current = 1A per pair",2,IF($A90="","",('Temperature in bundle'!$Q$6-('Temperature in bundle'!$Q$6^2-4*(T90+V$7)*'Temperature in bundle'!$Q$7)^0.5)/2/(T90+V$7)))</f>
        <v>0.51454751824731781</v>
      </c>
      <c r="V90" s="98">
        <f t="shared" si="29"/>
        <v>0.55625438631601487</v>
      </c>
      <c r="W90" s="101">
        <f t="shared" si="36"/>
        <v>0.27972550876861485</v>
      </c>
      <c r="Y90" s="100">
        <f t="shared" si="30"/>
        <v>2.1009826872150321</v>
      </c>
      <c r="Z90" s="119">
        <f>IF('Temperature in bundle'!$P$4="Current = 1A per pair",2,IF($A90="","",('Temperature in bundle'!$Q$6-('Temperature in bundle'!$Q$6^2-4*(Y90+AA$7)*'Temperature in bundle'!$Q$7)^0.5)/2/(Y90+AA$7)))</f>
        <v>0.51454751828479039</v>
      </c>
      <c r="AA90" s="98">
        <f t="shared" si="31"/>
        <v>0.55625438743374267</v>
      </c>
      <c r="AB90" s="101">
        <f t="shared" si="37"/>
        <v>0.27972550940310176</v>
      </c>
    </row>
    <row r="91" spans="1:28">
      <c r="A91">
        <f t="shared" si="38"/>
        <v>41</v>
      </c>
      <c r="B91" s="113">
        <v>4</v>
      </c>
      <c r="C91" s="113">
        <v>0</v>
      </c>
      <c r="D91" s="113">
        <f t="shared" si="40"/>
        <v>4</v>
      </c>
      <c r="E91" s="113">
        <f t="shared" si="32"/>
        <v>4</v>
      </c>
      <c r="F91" s="113">
        <f t="shared" si="32"/>
        <v>0</v>
      </c>
      <c r="G91" s="113">
        <f t="shared" si="39"/>
        <v>3.5118845842842465</v>
      </c>
      <c r="J91" s="116">
        <f t="shared" si="33"/>
        <v>2.0986931609674486</v>
      </c>
      <c r="K91" s="119">
        <f t="shared" si="24"/>
        <v>0.51453105392986931</v>
      </c>
      <c r="L91" s="98">
        <f t="shared" si="25"/>
        <v>0.55561265601452581</v>
      </c>
      <c r="M91" s="101">
        <f t="shared" si="34"/>
        <v>0.25954972344830546</v>
      </c>
      <c r="O91" s="100">
        <f t="shared" si="26"/>
        <v>2.1008175503626232</v>
      </c>
      <c r="P91" s="119">
        <f>IF('Temperature in bundle'!$P$4="Current = 1A per pair",2,IF($A91="","",('Temperature in bundle'!$Q$6-('Temperature in bundle'!$Q$6^2-4*(O91+Q$7)*'Temperature in bundle'!$Q$7)^0.5)/2/(O91+Q$7)))</f>
        <v>0.51454658432626632</v>
      </c>
      <c r="Q91" s="98">
        <f t="shared" si="27"/>
        <v>0.55620864677998827</v>
      </c>
      <c r="R91" s="101">
        <f t="shared" si="35"/>
        <v>0.25988843548487556</v>
      </c>
      <c r="T91" s="100">
        <f t="shared" si="28"/>
        <v>2.1008203226878988</v>
      </c>
      <c r="U91" s="119">
        <f>IF('Temperature in bundle'!$P$4="Current = 1A per pair",2,IF($A91="","",('Temperature in bundle'!$Q$6-('Temperature in bundle'!$Q$6^2-4*(T91+V$7)*'Temperature in bundle'!$Q$7)^0.5)/2/(T91+V$7)))</f>
        <v>0.51454660699457133</v>
      </c>
      <c r="V91" s="98">
        <f t="shared" si="29"/>
        <v>0.55620942978331611</v>
      </c>
      <c r="W91" s="101">
        <f t="shared" si="36"/>
        <v>0.25988887995999072</v>
      </c>
      <c r="Y91" s="100">
        <f t="shared" si="30"/>
        <v>2.1008203263258847</v>
      </c>
      <c r="Z91" s="119">
        <f>IF('Temperature in bundle'!$P$4="Current = 1A per pair",2,IF($A91="","",('Temperature in bundle'!$Q$6-('Temperature in bundle'!$Q$6^2-4*(Y91+AA$7)*'Temperature in bundle'!$Q$7)^0.5)/2/(Y91+AA$7)))</f>
        <v>0.51454660703048438</v>
      </c>
      <c r="AA91" s="98">
        <f t="shared" si="31"/>
        <v>0.55620943082414465</v>
      </c>
      <c r="AB91" s="101">
        <f t="shared" si="37"/>
        <v>0.25988888054948323</v>
      </c>
    </row>
    <row r="92" spans="1:28">
      <c r="A92">
        <f t="shared" si="38"/>
        <v>42</v>
      </c>
      <c r="B92" s="113">
        <v>3.5</v>
      </c>
      <c r="C92" s="113">
        <f t="shared" ref="C92" si="42">SQRT(3)/2</f>
        <v>0.8660254037844386</v>
      </c>
      <c r="D92" s="113">
        <f t="shared" si="40"/>
        <v>3.6055512754639891</v>
      </c>
      <c r="E92" s="113">
        <f t="shared" si="32"/>
        <v>3.5</v>
      </c>
      <c r="F92" s="113">
        <f t="shared" si="32"/>
        <v>0.8660254037844386</v>
      </c>
      <c r="G92" s="113">
        <f t="shared" si="39"/>
        <v>3.0550504633038935</v>
      </c>
      <c r="J92" s="116">
        <f t="shared" si="33"/>
        <v>2.0986931609674486</v>
      </c>
      <c r="K92" s="119">
        <f t="shared" si="24"/>
        <v>0.51453105392986931</v>
      </c>
      <c r="L92" s="98">
        <f t="shared" si="25"/>
        <v>0.55561265601452581</v>
      </c>
      <c r="M92" s="101">
        <f t="shared" si="34"/>
        <v>0.28926583628594033</v>
      </c>
      <c r="O92" s="100">
        <f t="shared" si="26"/>
        <v>2.1010607738734768</v>
      </c>
      <c r="P92" s="119">
        <f>IF('Temperature in bundle'!$P$4="Current = 1A per pair",2,IF($A92="","",('Temperature in bundle'!$Q$6-('Temperature in bundle'!$Q$6^2-4*(O92+Q$7)*'Temperature in bundle'!$Q$7)^0.5)/2/(O92+Q$7)))</f>
        <v>0.51454794942613591</v>
      </c>
      <c r="Q92" s="98">
        <f t="shared" si="27"/>
        <v>0.55627599380136705</v>
      </c>
      <c r="R92" s="101">
        <f t="shared" si="35"/>
        <v>0.28964332780940205</v>
      </c>
      <c r="T92" s="100">
        <f t="shared" si="28"/>
        <v>2.1010638636051033</v>
      </c>
      <c r="U92" s="119">
        <f>IF('Temperature in bundle'!$P$4="Current = 1A per pair",2,IF($A92="","",('Temperature in bundle'!$Q$6-('Temperature in bundle'!$Q$6^2-4*(T92+V$7)*'Temperature in bundle'!$Q$7)^0.5)/2/(T92+V$7)))</f>
        <v>0.5145479738761487</v>
      </c>
      <c r="V92" s="98">
        <f t="shared" si="29"/>
        <v>0.55627686470317894</v>
      </c>
      <c r="W92" s="101">
        <f t="shared" si="36"/>
        <v>0.28964382317292692</v>
      </c>
      <c r="Y92" s="100">
        <f t="shared" si="30"/>
        <v>2.1010638676596058</v>
      </c>
      <c r="Z92" s="119">
        <f>IF('Temperature in bundle'!$P$4="Current = 1A per pair",2,IF($A92="","",('Temperature in bundle'!$Q$6-('Temperature in bundle'!$Q$6^2-4*(Y92+AA$7)*'Temperature in bundle'!$Q$7)^0.5)/2/(Y92+AA$7)))</f>
        <v>0.51454797391440088</v>
      </c>
      <c r="AA92" s="98">
        <f t="shared" si="31"/>
        <v>0.5562768658593561</v>
      </c>
      <c r="AB92" s="101">
        <f t="shared" si="37"/>
        <v>0.289643823829911</v>
      </c>
    </row>
    <row r="93" spans="1:28">
      <c r="A93">
        <f t="shared" si="38"/>
        <v>43</v>
      </c>
      <c r="B93" s="113">
        <v>3</v>
      </c>
      <c r="C93" s="113">
        <f>SQRT(3)/2*2</f>
        <v>1.7320508075688772</v>
      </c>
      <c r="D93" s="113">
        <f t="shared" si="40"/>
        <v>3.4641016151377544</v>
      </c>
      <c r="E93" s="113">
        <f t="shared" si="32"/>
        <v>3</v>
      </c>
      <c r="F93" s="113">
        <f t="shared" si="32"/>
        <v>1.7320508075688772</v>
      </c>
      <c r="G93" s="113">
        <f t="shared" si="39"/>
        <v>2.8867513459481287</v>
      </c>
      <c r="J93" s="116">
        <f t="shared" si="33"/>
        <v>2.0986931609674486</v>
      </c>
      <c r="K93" s="119">
        <f t="shared" si="24"/>
        <v>0.51453105392986931</v>
      </c>
      <c r="L93" s="98">
        <f t="shared" si="25"/>
        <v>0.55561265601452581</v>
      </c>
      <c r="M93" s="101">
        <f t="shared" si="34"/>
        <v>0.29917120723181861</v>
      </c>
      <c r="O93" s="100">
        <f t="shared" si="26"/>
        <v>2.1011418483770941</v>
      </c>
      <c r="P93" s="119">
        <f>IF('Temperature in bundle'!$P$4="Current = 1A per pair",2,IF($A93="","",('Temperature in bundle'!$Q$6-('Temperature in bundle'!$Q$6^2-4*(O93+Q$7)*'Temperature in bundle'!$Q$7)^0.5)/2/(O93+Q$7)))</f>
        <v>0.51454840446269356</v>
      </c>
      <c r="Q93" s="98">
        <f t="shared" si="27"/>
        <v>0.55629844296915909</v>
      </c>
      <c r="R93" s="101">
        <f t="shared" si="35"/>
        <v>0.29956162525091085</v>
      </c>
      <c r="T93" s="100">
        <f t="shared" si="28"/>
        <v>2.1011450439108379</v>
      </c>
      <c r="U93" s="119">
        <f>IF('Temperature in bundle'!$P$4="Current = 1A per pair",2,IF($A93="","",('Temperature in bundle'!$Q$6-('Temperature in bundle'!$Q$6^2-4*(T93+V$7)*'Temperature in bundle'!$Q$7)^0.5)/2/(T93+V$7)))</f>
        <v>0.51454842950661728</v>
      </c>
      <c r="V93" s="98">
        <f t="shared" si="29"/>
        <v>0.55629934317088481</v>
      </c>
      <c r="W93" s="101">
        <f t="shared" si="36"/>
        <v>0.29956213757723898</v>
      </c>
      <c r="Y93" s="100">
        <f t="shared" si="30"/>
        <v>2.1011450481041796</v>
      </c>
      <c r="Z93" s="119">
        <f>IF('Temperature in bundle'!$P$4="Current = 1A per pair",2,IF($A93="","",('Temperature in bundle'!$Q$6-('Temperature in bundle'!$Q$6^2-4*(Y93+AA$7)*'Temperature in bundle'!$Q$7)^0.5)/2/(Y93+AA$7)))</f>
        <v>0.51454842954564772</v>
      </c>
      <c r="AA93" s="98">
        <f t="shared" si="31"/>
        <v>0.5562993443655091</v>
      </c>
      <c r="AB93" s="101">
        <f t="shared" si="37"/>
        <v>0.29956213825672029</v>
      </c>
    </row>
    <row r="94" spans="1:28">
      <c r="A94">
        <f t="shared" si="38"/>
        <v>44</v>
      </c>
      <c r="B94" s="113">
        <v>2.5</v>
      </c>
      <c r="C94" s="113">
        <f>SQRT(3)/2*3</f>
        <v>2.598076211353316</v>
      </c>
      <c r="D94" s="113">
        <f t="shared" si="40"/>
        <v>3.6055512754639891</v>
      </c>
      <c r="E94" s="113">
        <f t="shared" si="32"/>
        <v>2.5</v>
      </c>
      <c r="F94" s="113">
        <f t="shared" si="32"/>
        <v>2.598076211353316</v>
      </c>
      <c r="G94" s="113">
        <f t="shared" si="39"/>
        <v>3.0550504633038931</v>
      </c>
      <c r="J94" s="116">
        <f t="shared" si="33"/>
        <v>2.0986931609674486</v>
      </c>
      <c r="K94" s="119">
        <f t="shared" si="24"/>
        <v>0.51453105392986931</v>
      </c>
      <c r="L94" s="98">
        <f t="shared" si="25"/>
        <v>0.55561265601452581</v>
      </c>
      <c r="M94" s="101">
        <f t="shared" si="34"/>
        <v>0.28926583628594033</v>
      </c>
      <c r="O94" s="100">
        <f t="shared" si="26"/>
        <v>2.1010607738734768</v>
      </c>
      <c r="P94" s="119">
        <f>IF('Temperature in bundle'!$P$4="Current = 1A per pair",2,IF($A94="","",('Temperature in bundle'!$Q$6-('Temperature in bundle'!$Q$6^2-4*(O94+Q$7)*'Temperature in bundle'!$Q$7)^0.5)/2/(O94+Q$7)))</f>
        <v>0.51454794942613591</v>
      </c>
      <c r="Q94" s="98">
        <f t="shared" si="27"/>
        <v>0.55627599380136705</v>
      </c>
      <c r="R94" s="101">
        <f t="shared" si="35"/>
        <v>0.28964332780940205</v>
      </c>
      <c r="T94" s="100">
        <f t="shared" si="28"/>
        <v>2.1010638636051033</v>
      </c>
      <c r="U94" s="119">
        <f>IF('Temperature in bundle'!$P$4="Current = 1A per pair",2,IF($A94="","",('Temperature in bundle'!$Q$6-('Temperature in bundle'!$Q$6^2-4*(T94+V$7)*'Temperature in bundle'!$Q$7)^0.5)/2/(T94+V$7)))</f>
        <v>0.5145479738761487</v>
      </c>
      <c r="V94" s="98">
        <f t="shared" si="29"/>
        <v>0.55627686470317894</v>
      </c>
      <c r="W94" s="101">
        <f t="shared" si="36"/>
        <v>0.28964382317292692</v>
      </c>
      <c r="Y94" s="100">
        <f t="shared" si="30"/>
        <v>2.1010638676596058</v>
      </c>
      <c r="Z94" s="119">
        <f>IF('Temperature in bundle'!$P$4="Current = 1A per pair",2,IF($A94="","",('Temperature in bundle'!$Q$6-('Temperature in bundle'!$Q$6^2-4*(Y94+AA$7)*'Temperature in bundle'!$Q$7)^0.5)/2/(Y94+AA$7)))</f>
        <v>0.51454797391440088</v>
      </c>
      <c r="AA94" s="98">
        <f t="shared" si="31"/>
        <v>0.5562768658593561</v>
      </c>
      <c r="AB94" s="101">
        <f t="shared" si="37"/>
        <v>0.28964382382991105</v>
      </c>
    </row>
    <row r="95" spans="1:28">
      <c r="A95">
        <f t="shared" si="38"/>
        <v>45</v>
      </c>
      <c r="B95" s="113">
        <v>2</v>
      </c>
      <c r="C95" s="113">
        <f>SQRT(3)/2*4</f>
        <v>3.4641016151377544</v>
      </c>
      <c r="D95" s="113">
        <f t="shared" si="40"/>
        <v>4</v>
      </c>
      <c r="E95" s="113">
        <f t="shared" si="32"/>
        <v>2</v>
      </c>
      <c r="F95" s="113">
        <f t="shared" si="32"/>
        <v>3.4641016151377544</v>
      </c>
      <c r="G95" s="113">
        <f t="shared" si="39"/>
        <v>3.5118845842842457</v>
      </c>
      <c r="J95" s="116">
        <f t="shared" si="33"/>
        <v>2.0986931609674486</v>
      </c>
      <c r="K95" s="119">
        <f t="shared" si="24"/>
        <v>0.51453105392986931</v>
      </c>
      <c r="L95" s="98">
        <f t="shared" si="25"/>
        <v>0.55561265601452581</v>
      </c>
      <c r="M95" s="101">
        <f t="shared" si="34"/>
        <v>0.25954972344830557</v>
      </c>
      <c r="O95" s="100">
        <f t="shared" si="26"/>
        <v>2.1008175503626232</v>
      </c>
      <c r="P95" s="119">
        <f>IF('Temperature in bundle'!$P$4="Current = 1A per pair",2,IF($A95="","",('Temperature in bundle'!$Q$6-('Temperature in bundle'!$Q$6^2-4*(O95+Q$7)*'Temperature in bundle'!$Q$7)^0.5)/2/(O95+Q$7)))</f>
        <v>0.51454658432626632</v>
      </c>
      <c r="Q95" s="98">
        <f t="shared" si="27"/>
        <v>0.55620864677998827</v>
      </c>
      <c r="R95" s="101">
        <f t="shared" si="35"/>
        <v>0.25988843548487567</v>
      </c>
      <c r="T95" s="100">
        <f t="shared" si="28"/>
        <v>2.1008203226878988</v>
      </c>
      <c r="U95" s="119">
        <f>IF('Temperature in bundle'!$P$4="Current = 1A per pair",2,IF($A95="","",('Temperature in bundle'!$Q$6-('Temperature in bundle'!$Q$6^2-4*(T95+V$7)*'Temperature in bundle'!$Q$7)^0.5)/2/(T95+V$7)))</f>
        <v>0.51454660699457133</v>
      </c>
      <c r="V95" s="98">
        <f t="shared" si="29"/>
        <v>0.55620942978331611</v>
      </c>
      <c r="W95" s="101">
        <f t="shared" si="36"/>
        <v>0.25988887995999077</v>
      </c>
      <c r="Y95" s="100">
        <f t="shared" si="30"/>
        <v>2.1008203263258847</v>
      </c>
      <c r="Z95" s="119">
        <f>IF('Temperature in bundle'!$P$4="Current = 1A per pair",2,IF($A95="","",('Temperature in bundle'!$Q$6-('Temperature in bundle'!$Q$6^2-4*(Y95+AA$7)*'Temperature in bundle'!$Q$7)^0.5)/2/(Y95+AA$7)))</f>
        <v>0.51454660703048438</v>
      </c>
      <c r="AA95" s="98">
        <f t="shared" si="31"/>
        <v>0.55620943082414465</v>
      </c>
      <c r="AB95" s="101">
        <f t="shared" si="37"/>
        <v>0.25988888054948334</v>
      </c>
    </row>
    <row r="96" spans="1:28">
      <c r="A96">
        <f t="shared" si="38"/>
        <v>46</v>
      </c>
      <c r="B96" s="113">
        <v>1</v>
      </c>
      <c r="C96" s="113">
        <f>SQRT(3)/2*4</f>
        <v>3.4641016151377544</v>
      </c>
      <c r="D96" s="113">
        <f t="shared" si="40"/>
        <v>3.6055512754639891</v>
      </c>
      <c r="E96" s="113">
        <f t="shared" si="32"/>
        <v>1</v>
      </c>
      <c r="F96" s="113">
        <f t="shared" si="32"/>
        <v>3.4641016151377544</v>
      </c>
      <c r="G96" s="113">
        <f t="shared" si="39"/>
        <v>3.214550253664318</v>
      </c>
      <c r="J96" s="116">
        <f t="shared" si="33"/>
        <v>2.0986931609674486</v>
      </c>
      <c r="K96" s="119">
        <f t="shared" si="24"/>
        <v>0.51453105392986931</v>
      </c>
      <c r="L96" s="98">
        <f t="shared" si="25"/>
        <v>0.55561265601452581</v>
      </c>
      <c r="M96" s="101">
        <f t="shared" si="34"/>
        <v>0.27936046534006204</v>
      </c>
      <c r="O96" s="100">
        <f t="shared" si="26"/>
        <v>2.1009796993698586</v>
      </c>
      <c r="P96" s="119">
        <f>IF('Temperature in bundle'!$P$4="Current = 1A per pair",2,IF($A96="","",('Temperature in bundle'!$Q$6-('Temperature in bundle'!$Q$6^2-4*(O96+Q$7)*'Temperature in bundle'!$Q$7)^0.5)/2/(O96+Q$7)))</f>
        <v>0.5145474943912125</v>
      </c>
      <c r="Q96" s="98">
        <f t="shared" si="27"/>
        <v>0.55625354471390898</v>
      </c>
      <c r="R96" s="101">
        <f t="shared" si="35"/>
        <v>0.27972503036789326</v>
      </c>
      <c r="T96" s="100">
        <f t="shared" si="28"/>
        <v>2.1009826832993683</v>
      </c>
      <c r="U96" s="119">
        <f>IF('Temperature in bundle'!$P$4="Current = 1A per pair",2,IF($A96="","",('Temperature in bundle'!$Q$6-('Temperature in bundle'!$Q$6^2-4*(T96+V$7)*'Temperature in bundle'!$Q$7)^0.5)/2/(T96+V$7)))</f>
        <v>0.51454751824731781</v>
      </c>
      <c r="V96" s="98">
        <f t="shared" si="29"/>
        <v>0.55625438631601487</v>
      </c>
      <c r="W96" s="101">
        <f t="shared" si="36"/>
        <v>0.27972550876861485</v>
      </c>
      <c r="Y96" s="100">
        <f t="shared" si="30"/>
        <v>2.1009826872150321</v>
      </c>
      <c r="Z96" s="119">
        <f>IF('Temperature in bundle'!$P$4="Current = 1A per pair",2,IF($A96="","",('Temperature in bundle'!$Q$6-('Temperature in bundle'!$Q$6^2-4*(Y96+AA$7)*'Temperature in bundle'!$Q$7)^0.5)/2/(Y96+AA$7)))</f>
        <v>0.51454751828479039</v>
      </c>
      <c r="AA96" s="98">
        <f t="shared" si="31"/>
        <v>0.55625438743374267</v>
      </c>
      <c r="AB96" s="101">
        <f t="shared" si="37"/>
        <v>0.27972550940310176</v>
      </c>
    </row>
    <row r="97" spans="1:28">
      <c r="A97">
        <f t="shared" si="38"/>
        <v>47</v>
      </c>
      <c r="B97" s="113">
        <v>0</v>
      </c>
      <c r="C97" s="113">
        <f>SQRT(3)/2*4</f>
        <v>3.4641016151377544</v>
      </c>
      <c r="D97" s="113">
        <f t="shared" si="40"/>
        <v>3.4641016151377544</v>
      </c>
      <c r="E97" s="113">
        <f t="shared" si="32"/>
        <v>0</v>
      </c>
      <c r="F97" s="113">
        <f t="shared" si="32"/>
        <v>3.4641016151377544</v>
      </c>
      <c r="G97" s="113">
        <f t="shared" si="39"/>
        <v>3.214550253664318</v>
      </c>
      <c r="J97" s="116">
        <f t="shared" si="33"/>
        <v>2.0986931609674486</v>
      </c>
      <c r="K97" s="119">
        <f t="shared" si="24"/>
        <v>0.51453105392986931</v>
      </c>
      <c r="L97" s="98">
        <f t="shared" si="25"/>
        <v>0.55561265601452581</v>
      </c>
      <c r="M97" s="101">
        <f t="shared" si="34"/>
        <v>0.27936046534006204</v>
      </c>
      <c r="O97" s="100">
        <f t="shared" si="26"/>
        <v>2.1009796993698586</v>
      </c>
      <c r="P97" s="119">
        <f>IF('Temperature in bundle'!$P$4="Current = 1A per pair",2,IF($A97="","",('Temperature in bundle'!$Q$6-('Temperature in bundle'!$Q$6^2-4*(O97+Q$7)*'Temperature in bundle'!$Q$7)^0.5)/2/(O97+Q$7)))</f>
        <v>0.5145474943912125</v>
      </c>
      <c r="Q97" s="98">
        <f t="shared" si="27"/>
        <v>0.55625354471390898</v>
      </c>
      <c r="R97" s="101">
        <f t="shared" si="35"/>
        <v>0.27972503036789326</v>
      </c>
      <c r="T97" s="100">
        <f t="shared" si="28"/>
        <v>2.1009826832993683</v>
      </c>
      <c r="U97" s="119">
        <f>IF('Temperature in bundle'!$P$4="Current = 1A per pair",2,IF($A97="","",('Temperature in bundle'!$Q$6-('Temperature in bundle'!$Q$6^2-4*(T97+V$7)*'Temperature in bundle'!$Q$7)^0.5)/2/(T97+V$7)))</f>
        <v>0.51454751824731781</v>
      </c>
      <c r="V97" s="98">
        <f t="shared" si="29"/>
        <v>0.55625438631601487</v>
      </c>
      <c r="W97" s="101">
        <f t="shared" si="36"/>
        <v>0.27972550876861485</v>
      </c>
      <c r="Y97" s="100">
        <f t="shared" si="30"/>
        <v>2.1009826872150321</v>
      </c>
      <c r="Z97" s="119">
        <f>IF('Temperature in bundle'!$P$4="Current = 1A per pair",2,IF($A97="","",('Temperature in bundle'!$Q$6-('Temperature in bundle'!$Q$6^2-4*(Y97+AA$7)*'Temperature in bundle'!$Q$7)^0.5)/2/(Y97+AA$7)))</f>
        <v>0.51454751828479039</v>
      </c>
      <c r="AA97" s="98">
        <f t="shared" si="31"/>
        <v>0.55625438743374267</v>
      </c>
      <c r="AB97" s="101">
        <f t="shared" si="37"/>
        <v>0.27972550940310176</v>
      </c>
    </row>
    <row r="98" spans="1:28">
      <c r="A98">
        <f t="shared" si="38"/>
        <v>48</v>
      </c>
      <c r="B98" s="113">
        <v>-1</v>
      </c>
      <c r="C98" s="113">
        <f t="shared" ref="C98:C99" si="43">SQRT(3)/2*4</f>
        <v>3.4641016151377544</v>
      </c>
      <c r="D98" s="113">
        <f t="shared" si="40"/>
        <v>3.6055512754639891</v>
      </c>
      <c r="E98" s="113">
        <f t="shared" si="32"/>
        <v>-1</v>
      </c>
      <c r="F98" s="113">
        <f t="shared" si="32"/>
        <v>3.4641016151377544</v>
      </c>
      <c r="G98" s="113">
        <f t="shared" si="39"/>
        <v>3.5118845842842457</v>
      </c>
      <c r="J98" s="116">
        <f t="shared" si="33"/>
        <v>2.0986931609674486</v>
      </c>
      <c r="K98" s="119">
        <f t="shared" si="24"/>
        <v>0.51453105392986931</v>
      </c>
      <c r="L98" s="98">
        <f t="shared" si="25"/>
        <v>0.55561265601452581</v>
      </c>
      <c r="M98" s="101">
        <f t="shared" si="34"/>
        <v>0.25954972344830557</v>
      </c>
      <c r="O98" s="100">
        <f t="shared" si="26"/>
        <v>2.1008175503626232</v>
      </c>
      <c r="P98" s="119">
        <f>IF('Temperature in bundle'!$P$4="Current = 1A per pair",2,IF($A98="","",('Temperature in bundle'!$Q$6-('Temperature in bundle'!$Q$6^2-4*(O98+Q$7)*'Temperature in bundle'!$Q$7)^0.5)/2/(O98+Q$7)))</f>
        <v>0.51454658432626632</v>
      </c>
      <c r="Q98" s="98">
        <f t="shared" si="27"/>
        <v>0.55620864677998827</v>
      </c>
      <c r="R98" s="101">
        <f t="shared" si="35"/>
        <v>0.25988843548487567</v>
      </c>
      <c r="T98" s="100">
        <f t="shared" si="28"/>
        <v>2.1008203226878988</v>
      </c>
      <c r="U98" s="119">
        <f>IF('Temperature in bundle'!$P$4="Current = 1A per pair",2,IF($A98="","",('Temperature in bundle'!$Q$6-('Temperature in bundle'!$Q$6^2-4*(T98+V$7)*'Temperature in bundle'!$Q$7)^0.5)/2/(T98+V$7)))</f>
        <v>0.51454660699457133</v>
      </c>
      <c r="V98" s="98">
        <f t="shared" si="29"/>
        <v>0.55620942978331611</v>
      </c>
      <c r="W98" s="101">
        <f t="shared" si="36"/>
        <v>0.25988887995999077</v>
      </c>
      <c r="Y98" s="100">
        <f t="shared" si="30"/>
        <v>2.1008203263258847</v>
      </c>
      <c r="Z98" s="119">
        <f>IF('Temperature in bundle'!$P$4="Current = 1A per pair",2,IF($A98="","",('Temperature in bundle'!$Q$6-('Temperature in bundle'!$Q$6^2-4*(Y98+AA$7)*'Temperature in bundle'!$Q$7)^0.5)/2/(Y98+AA$7)))</f>
        <v>0.51454660703048438</v>
      </c>
      <c r="AA98" s="98">
        <f t="shared" si="31"/>
        <v>0.55620943082414465</v>
      </c>
      <c r="AB98" s="101">
        <f t="shared" si="37"/>
        <v>0.25988888054948334</v>
      </c>
    </row>
    <row r="99" spans="1:28">
      <c r="A99" t="str">
        <f t="shared" si="38"/>
        <v/>
      </c>
      <c r="B99" s="113">
        <v>-2</v>
      </c>
      <c r="C99" s="113">
        <f t="shared" si="43"/>
        <v>3.4641016151377544</v>
      </c>
      <c r="D99" s="113">
        <f t="shared" si="40"/>
        <v>4</v>
      </c>
      <c r="E99" s="113" t="str">
        <f t="shared" si="32"/>
        <v/>
      </c>
      <c r="F99" s="113" t="str">
        <f t="shared" si="32"/>
        <v/>
      </c>
      <c r="G99" s="113" t="str">
        <f t="shared" si="39"/>
        <v/>
      </c>
      <c r="J99" s="116" t="str">
        <f t="shared" si="33"/>
        <v/>
      </c>
      <c r="K99" s="119" t="str">
        <f t="shared" si="24"/>
        <v/>
      </c>
      <c r="L99" s="98" t="str">
        <f t="shared" si="25"/>
        <v/>
      </c>
      <c r="M99" s="101" t="str">
        <f t="shared" si="34"/>
        <v/>
      </c>
      <c r="O99" s="100" t="str">
        <f t="shared" si="26"/>
        <v/>
      </c>
      <c r="P99" s="119" t="str">
        <f>IF('Temperature in bundle'!$P$4="Current = 1A per pair",2,IF($A99="","",('Temperature in bundle'!$Q$6-('Temperature in bundle'!$Q$6^2-4*(O99+Q$7)*'Temperature in bundle'!$Q$7)^0.5)/2/(O99+Q$7)))</f>
        <v/>
      </c>
      <c r="Q99" s="98" t="str">
        <f t="shared" si="27"/>
        <v/>
      </c>
      <c r="R99" s="101" t="str">
        <f t="shared" si="35"/>
        <v/>
      </c>
      <c r="T99" s="100" t="str">
        <f t="shared" si="28"/>
        <v/>
      </c>
      <c r="U99" s="119" t="str">
        <f>IF('Temperature in bundle'!$P$4="Current = 1A per pair",2,IF($A99="","",('Temperature in bundle'!$Q$6-('Temperature in bundle'!$Q$6^2-4*(T99+V$7)*'Temperature in bundle'!$Q$7)^0.5)/2/(T99+V$7)))</f>
        <v/>
      </c>
      <c r="V99" s="98" t="str">
        <f t="shared" si="29"/>
        <v/>
      </c>
      <c r="W99" s="101" t="str">
        <f t="shared" si="36"/>
        <v/>
      </c>
      <c r="Y99" s="100" t="str">
        <f t="shared" si="30"/>
        <v/>
      </c>
      <c r="Z99" s="119" t="str">
        <f>IF('Temperature in bundle'!$P$4="Current = 1A per pair",2,IF($A99="","",('Temperature in bundle'!$Q$6-('Temperature in bundle'!$Q$6^2-4*(Y99+AA$7)*'Temperature in bundle'!$Q$7)^0.5)/2/(Y99+AA$7)))</f>
        <v/>
      </c>
      <c r="AA99" s="98" t="str">
        <f t="shared" si="31"/>
        <v/>
      </c>
      <c r="AB99" s="101" t="str">
        <f t="shared" si="37"/>
        <v/>
      </c>
    </row>
    <row r="100" spans="1:28">
      <c r="A100" t="str">
        <f t="shared" si="38"/>
        <v/>
      </c>
      <c r="B100" s="113">
        <v>-2.5</v>
      </c>
      <c r="C100" s="113">
        <f>SQRT(3)/2*3</f>
        <v>2.598076211353316</v>
      </c>
      <c r="D100" s="113">
        <f t="shared" si="40"/>
        <v>3.6055512754639891</v>
      </c>
      <c r="E100" s="113" t="str">
        <f t="shared" si="32"/>
        <v/>
      </c>
      <c r="F100" s="113" t="str">
        <f t="shared" si="32"/>
        <v/>
      </c>
      <c r="G100" s="113" t="str">
        <f t="shared" si="39"/>
        <v/>
      </c>
      <c r="J100" s="116" t="str">
        <f t="shared" si="33"/>
        <v/>
      </c>
      <c r="K100" s="119" t="str">
        <f t="shared" si="24"/>
        <v/>
      </c>
      <c r="L100" s="98" t="str">
        <f t="shared" si="25"/>
        <v/>
      </c>
      <c r="M100" s="101" t="str">
        <f t="shared" si="34"/>
        <v/>
      </c>
      <c r="O100" s="100" t="str">
        <f t="shared" si="26"/>
        <v/>
      </c>
      <c r="P100" s="119" t="str">
        <f>IF('Temperature in bundle'!$P$4="Current = 1A per pair",2,IF($A100="","",('Temperature in bundle'!$Q$6-('Temperature in bundle'!$Q$6^2-4*(O100+Q$7)*'Temperature in bundle'!$Q$7)^0.5)/2/(O100+Q$7)))</f>
        <v/>
      </c>
      <c r="Q100" s="98" t="str">
        <f t="shared" si="27"/>
        <v/>
      </c>
      <c r="R100" s="101" t="str">
        <f t="shared" si="35"/>
        <v/>
      </c>
      <c r="T100" s="100" t="str">
        <f t="shared" si="28"/>
        <v/>
      </c>
      <c r="U100" s="119" t="str">
        <f>IF('Temperature in bundle'!$P$4="Current = 1A per pair",2,IF($A100="","",('Temperature in bundle'!$Q$6-('Temperature in bundle'!$Q$6^2-4*(T100+V$7)*'Temperature in bundle'!$Q$7)^0.5)/2/(T100+V$7)))</f>
        <v/>
      </c>
      <c r="V100" s="98" t="str">
        <f t="shared" si="29"/>
        <v/>
      </c>
      <c r="W100" s="101" t="str">
        <f t="shared" si="36"/>
        <v/>
      </c>
      <c r="Y100" s="100" t="str">
        <f t="shared" si="30"/>
        <v/>
      </c>
      <c r="Z100" s="119" t="str">
        <f>IF('Temperature in bundle'!$P$4="Current = 1A per pair",2,IF($A100="","",('Temperature in bundle'!$Q$6-('Temperature in bundle'!$Q$6^2-4*(Y100+AA$7)*'Temperature in bundle'!$Q$7)^0.5)/2/(Y100+AA$7)))</f>
        <v/>
      </c>
      <c r="AA100" s="98" t="str">
        <f t="shared" si="31"/>
        <v/>
      </c>
      <c r="AB100" s="101" t="str">
        <f t="shared" si="37"/>
        <v/>
      </c>
    </row>
    <row r="101" spans="1:28">
      <c r="A101" t="str">
        <f t="shared" si="38"/>
        <v/>
      </c>
      <c r="B101" s="113">
        <v>-3</v>
      </c>
      <c r="C101" s="113">
        <f>SQRT(3)/2*2</f>
        <v>1.7320508075688772</v>
      </c>
      <c r="D101" s="113">
        <f t="shared" si="40"/>
        <v>3.4641016151377544</v>
      </c>
      <c r="E101" s="113" t="str">
        <f t="shared" si="32"/>
        <v/>
      </c>
      <c r="F101" s="113" t="str">
        <f t="shared" si="32"/>
        <v/>
      </c>
      <c r="G101" s="113" t="str">
        <f t="shared" si="39"/>
        <v/>
      </c>
      <c r="J101" s="116" t="str">
        <f t="shared" si="33"/>
        <v/>
      </c>
      <c r="K101" s="119" t="str">
        <f t="shared" si="24"/>
        <v/>
      </c>
      <c r="L101" s="98" t="str">
        <f t="shared" si="25"/>
        <v/>
      </c>
      <c r="M101" s="101" t="str">
        <f t="shared" si="34"/>
        <v/>
      </c>
      <c r="O101" s="100" t="str">
        <f t="shared" si="26"/>
        <v/>
      </c>
      <c r="P101" s="119" t="str">
        <f>IF('Temperature in bundle'!$P$4="Current = 1A per pair",2,IF($A101="","",('Temperature in bundle'!$Q$6-('Temperature in bundle'!$Q$6^2-4*(O101+Q$7)*'Temperature in bundle'!$Q$7)^0.5)/2/(O101+Q$7)))</f>
        <v/>
      </c>
      <c r="Q101" s="98" t="str">
        <f t="shared" si="27"/>
        <v/>
      </c>
      <c r="R101" s="101" t="str">
        <f t="shared" si="35"/>
        <v/>
      </c>
      <c r="T101" s="100" t="str">
        <f t="shared" si="28"/>
        <v/>
      </c>
      <c r="U101" s="119" t="str">
        <f>IF('Temperature in bundle'!$P$4="Current = 1A per pair",2,IF($A101="","",('Temperature in bundle'!$Q$6-('Temperature in bundle'!$Q$6^2-4*(T101+V$7)*'Temperature in bundle'!$Q$7)^0.5)/2/(T101+V$7)))</f>
        <v/>
      </c>
      <c r="V101" s="98" t="str">
        <f t="shared" si="29"/>
        <v/>
      </c>
      <c r="W101" s="101" t="str">
        <f t="shared" si="36"/>
        <v/>
      </c>
      <c r="Y101" s="100" t="str">
        <f t="shared" si="30"/>
        <v/>
      </c>
      <c r="Z101" s="119" t="str">
        <f>IF('Temperature in bundle'!$P$4="Current = 1A per pair",2,IF($A101="","",('Temperature in bundle'!$Q$6-('Temperature in bundle'!$Q$6^2-4*(Y101+AA$7)*'Temperature in bundle'!$Q$7)^0.5)/2/(Y101+AA$7)))</f>
        <v/>
      </c>
      <c r="AA101" s="98" t="str">
        <f t="shared" si="31"/>
        <v/>
      </c>
      <c r="AB101" s="101" t="str">
        <f t="shared" si="37"/>
        <v/>
      </c>
    </row>
    <row r="102" spans="1:28">
      <c r="A102" t="str">
        <f t="shared" si="38"/>
        <v/>
      </c>
      <c r="B102" s="113">
        <v>-3.5</v>
      </c>
      <c r="C102" s="113">
        <f t="shared" ref="C102" si="44">SQRT(3)/2</f>
        <v>0.8660254037844386</v>
      </c>
      <c r="D102" s="113">
        <f t="shared" si="40"/>
        <v>3.6055512754639891</v>
      </c>
      <c r="E102" s="113" t="str">
        <f t="shared" si="32"/>
        <v/>
      </c>
      <c r="F102" s="113" t="str">
        <f t="shared" si="32"/>
        <v/>
      </c>
      <c r="G102" s="113" t="str">
        <f t="shared" si="39"/>
        <v/>
      </c>
      <c r="J102" s="116" t="str">
        <f t="shared" si="33"/>
        <v/>
      </c>
      <c r="K102" s="119" t="str">
        <f t="shared" si="24"/>
        <v/>
      </c>
      <c r="L102" s="98" t="str">
        <f t="shared" si="25"/>
        <v/>
      </c>
      <c r="M102" s="101" t="str">
        <f t="shared" si="34"/>
        <v/>
      </c>
      <c r="O102" s="100" t="str">
        <f t="shared" si="26"/>
        <v/>
      </c>
      <c r="P102" s="119" t="str">
        <f>IF('Temperature in bundle'!$P$4="Current = 1A per pair",2,IF($A102="","",('Temperature in bundle'!$Q$6-('Temperature in bundle'!$Q$6^2-4*(O102+Q$7)*'Temperature in bundle'!$Q$7)^0.5)/2/(O102+Q$7)))</f>
        <v/>
      </c>
      <c r="Q102" s="98" t="str">
        <f t="shared" si="27"/>
        <v/>
      </c>
      <c r="R102" s="101" t="str">
        <f t="shared" si="35"/>
        <v/>
      </c>
      <c r="T102" s="100" t="str">
        <f t="shared" si="28"/>
        <v/>
      </c>
      <c r="U102" s="119" t="str">
        <f>IF('Temperature in bundle'!$P$4="Current = 1A per pair",2,IF($A102="","",('Temperature in bundle'!$Q$6-('Temperature in bundle'!$Q$6^2-4*(T102+V$7)*'Temperature in bundle'!$Q$7)^0.5)/2/(T102+V$7)))</f>
        <v/>
      </c>
      <c r="V102" s="98" t="str">
        <f t="shared" si="29"/>
        <v/>
      </c>
      <c r="W102" s="101" t="str">
        <f t="shared" si="36"/>
        <v/>
      </c>
      <c r="Y102" s="100" t="str">
        <f t="shared" si="30"/>
        <v/>
      </c>
      <c r="Z102" s="119" t="str">
        <f>IF('Temperature in bundle'!$P$4="Current = 1A per pair",2,IF($A102="","",('Temperature in bundle'!$Q$6-('Temperature in bundle'!$Q$6^2-4*(Y102+AA$7)*'Temperature in bundle'!$Q$7)^0.5)/2/(Y102+AA$7)))</f>
        <v/>
      </c>
      <c r="AA102" s="98" t="str">
        <f t="shared" si="31"/>
        <v/>
      </c>
      <c r="AB102" s="101" t="str">
        <f t="shared" si="37"/>
        <v/>
      </c>
    </row>
    <row r="103" spans="1:28">
      <c r="A103" t="str">
        <f t="shared" si="38"/>
        <v/>
      </c>
      <c r="B103" s="113">
        <v>-4</v>
      </c>
      <c r="C103" s="113">
        <v>0</v>
      </c>
      <c r="D103" s="113">
        <f t="shared" si="40"/>
        <v>4</v>
      </c>
      <c r="E103" s="113" t="str">
        <f t="shared" si="32"/>
        <v/>
      </c>
      <c r="F103" s="113" t="str">
        <f t="shared" si="32"/>
        <v/>
      </c>
      <c r="G103" s="113" t="str">
        <f t="shared" si="39"/>
        <v/>
      </c>
      <c r="J103" s="116" t="str">
        <f t="shared" si="33"/>
        <v/>
      </c>
      <c r="K103" s="119" t="str">
        <f t="shared" si="24"/>
        <v/>
      </c>
      <c r="L103" s="98" t="str">
        <f t="shared" si="25"/>
        <v/>
      </c>
      <c r="M103" s="101" t="str">
        <f t="shared" si="34"/>
        <v/>
      </c>
      <c r="O103" s="100" t="str">
        <f t="shared" si="26"/>
        <v/>
      </c>
      <c r="P103" s="119" t="str">
        <f>IF('Temperature in bundle'!$P$4="Current = 1A per pair",2,IF($A103="","",('Temperature in bundle'!$Q$6-('Temperature in bundle'!$Q$6^2-4*(O103+Q$7)*'Temperature in bundle'!$Q$7)^0.5)/2/(O103+Q$7)))</f>
        <v/>
      </c>
      <c r="Q103" s="98" t="str">
        <f t="shared" si="27"/>
        <v/>
      </c>
      <c r="R103" s="101" t="str">
        <f t="shared" si="35"/>
        <v/>
      </c>
      <c r="T103" s="100" t="str">
        <f t="shared" si="28"/>
        <v/>
      </c>
      <c r="U103" s="119" t="str">
        <f>IF('Temperature in bundle'!$P$4="Current = 1A per pair",2,IF($A103="","",('Temperature in bundle'!$Q$6-('Temperature in bundle'!$Q$6^2-4*(T103+V$7)*'Temperature in bundle'!$Q$7)^0.5)/2/(T103+V$7)))</f>
        <v/>
      </c>
      <c r="V103" s="98" t="str">
        <f t="shared" si="29"/>
        <v/>
      </c>
      <c r="W103" s="101" t="str">
        <f t="shared" si="36"/>
        <v/>
      </c>
      <c r="Y103" s="100" t="str">
        <f t="shared" si="30"/>
        <v/>
      </c>
      <c r="Z103" s="119" t="str">
        <f>IF('Temperature in bundle'!$P$4="Current = 1A per pair",2,IF($A103="","",('Temperature in bundle'!$Q$6-('Temperature in bundle'!$Q$6^2-4*(Y103+AA$7)*'Temperature in bundle'!$Q$7)^0.5)/2/(Y103+AA$7)))</f>
        <v/>
      </c>
      <c r="AA103" s="98" t="str">
        <f t="shared" si="31"/>
        <v/>
      </c>
      <c r="AB103" s="101" t="str">
        <f t="shared" si="37"/>
        <v/>
      </c>
    </row>
    <row r="104" spans="1:28">
      <c r="A104" t="str">
        <f t="shared" si="38"/>
        <v/>
      </c>
      <c r="B104" s="113">
        <v>-3.5</v>
      </c>
      <c r="C104" s="113">
        <f>-SQRT(3)/2</f>
        <v>-0.8660254037844386</v>
      </c>
      <c r="D104" s="113">
        <f t="shared" si="40"/>
        <v>3.6055512754639891</v>
      </c>
      <c r="E104" s="113" t="str">
        <f t="shared" si="32"/>
        <v/>
      </c>
      <c r="F104" s="113" t="str">
        <f t="shared" si="32"/>
        <v/>
      </c>
      <c r="G104" s="113" t="str">
        <f t="shared" si="39"/>
        <v/>
      </c>
      <c r="J104" s="116" t="str">
        <f t="shared" si="33"/>
        <v/>
      </c>
      <c r="K104" s="119" t="str">
        <f t="shared" si="24"/>
        <v/>
      </c>
      <c r="L104" s="98" t="str">
        <f t="shared" si="25"/>
        <v/>
      </c>
      <c r="M104" s="101" t="str">
        <f t="shared" si="34"/>
        <v/>
      </c>
      <c r="O104" s="100" t="str">
        <f t="shared" si="26"/>
        <v/>
      </c>
      <c r="P104" s="119" t="str">
        <f>IF('Temperature in bundle'!$P$4="Current = 1A per pair",2,IF($A104="","",('Temperature in bundle'!$Q$6-('Temperature in bundle'!$Q$6^2-4*(O104+Q$7)*'Temperature in bundle'!$Q$7)^0.5)/2/(O104+Q$7)))</f>
        <v/>
      </c>
      <c r="Q104" s="98" t="str">
        <f t="shared" si="27"/>
        <v/>
      </c>
      <c r="R104" s="101" t="str">
        <f t="shared" si="35"/>
        <v/>
      </c>
      <c r="T104" s="100" t="str">
        <f t="shared" si="28"/>
        <v/>
      </c>
      <c r="U104" s="119" t="str">
        <f>IF('Temperature in bundle'!$P$4="Current = 1A per pair",2,IF($A104="","",('Temperature in bundle'!$Q$6-('Temperature in bundle'!$Q$6^2-4*(T104+V$7)*'Temperature in bundle'!$Q$7)^0.5)/2/(T104+V$7)))</f>
        <v/>
      </c>
      <c r="V104" s="98" t="str">
        <f t="shared" si="29"/>
        <v/>
      </c>
      <c r="W104" s="101" t="str">
        <f t="shared" si="36"/>
        <v/>
      </c>
      <c r="Y104" s="100" t="str">
        <f t="shared" si="30"/>
        <v/>
      </c>
      <c r="Z104" s="119" t="str">
        <f>IF('Temperature in bundle'!$P$4="Current = 1A per pair",2,IF($A104="","",('Temperature in bundle'!$Q$6-('Temperature in bundle'!$Q$6^2-4*(Y104+AA$7)*'Temperature in bundle'!$Q$7)^0.5)/2/(Y104+AA$7)))</f>
        <v/>
      </c>
      <c r="AA104" s="98" t="str">
        <f t="shared" si="31"/>
        <v/>
      </c>
      <c r="AB104" s="101" t="str">
        <f t="shared" si="37"/>
        <v/>
      </c>
    </row>
    <row r="105" spans="1:28">
      <c r="A105" t="str">
        <f t="shared" si="38"/>
        <v/>
      </c>
      <c r="B105" s="113">
        <v>-3</v>
      </c>
      <c r="C105" s="113">
        <f>-SQRT(3)</f>
        <v>-1.7320508075688772</v>
      </c>
      <c r="D105" s="113">
        <f t="shared" si="40"/>
        <v>3.4641016151377544</v>
      </c>
      <c r="E105" s="113" t="str">
        <f t="shared" si="32"/>
        <v/>
      </c>
      <c r="F105" s="113" t="str">
        <f t="shared" si="32"/>
        <v/>
      </c>
      <c r="G105" s="113" t="str">
        <f t="shared" si="39"/>
        <v/>
      </c>
      <c r="J105" s="116" t="str">
        <f t="shared" si="33"/>
        <v/>
      </c>
      <c r="K105" s="119" t="str">
        <f t="shared" si="24"/>
        <v/>
      </c>
      <c r="L105" s="98" t="str">
        <f t="shared" si="25"/>
        <v/>
      </c>
      <c r="M105" s="101" t="str">
        <f t="shared" si="34"/>
        <v/>
      </c>
      <c r="O105" s="100" t="str">
        <f t="shared" si="26"/>
        <v/>
      </c>
      <c r="P105" s="119" t="str">
        <f>IF('Temperature in bundle'!$P$4="Current = 1A per pair",2,IF($A105="","",('Temperature in bundle'!$Q$6-('Temperature in bundle'!$Q$6^2-4*(O105+Q$7)*'Temperature in bundle'!$Q$7)^0.5)/2/(O105+Q$7)))</f>
        <v/>
      </c>
      <c r="Q105" s="98" t="str">
        <f t="shared" si="27"/>
        <v/>
      </c>
      <c r="R105" s="101" t="str">
        <f t="shared" si="35"/>
        <v/>
      </c>
      <c r="T105" s="100" t="str">
        <f t="shared" si="28"/>
        <v/>
      </c>
      <c r="U105" s="119" t="str">
        <f>IF('Temperature in bundle'!$P$4="Current = 1A per pair",2,IF($A105="","",('Temperature in bundle'!$Q$6-('Temperature in bundle'!$Q$6^2-4*(T105+V$7)*'Temperature in bundle'!$Q$7)^0.5)/2/(T105+V$7)))</f>
        <v/>
      </c>
      <c r="V105" s="98" t="str">
        <f t="shared" si="29"/>
        <v/>
      </c>
      <c r="W105" s="101" t="str">
        <f t="shared" si="36"/>
        <v/>
      </c>
      <c r="Y105" s="100" t="str">
        <f t="shared" si="30"/>
        <v/>
      </c>
      <c r="Z105" s="119" t="str">
        <f>IF('Temperature in bundle'!$P$4="Current = 1A per pair",2,IF($A105="","",('Temperature in bundle'!$Q$6-('Temperature in bundle'!$Q$6^2-4*(Y105+AA$7)*'Temperature in bundle'!$Q$7)^0.5)/2/(Y105+AA$7)))</f>
        <v/>
      </c>
      <c r="AA105" s="98" t="str">
        <f t="shared" si="31"/>
        <v/>
      </c>
      <c r="AB105" s="101" t="str">
        <f t="shared" si="37"/>
        <v/>
      </c>
    </row>
    <row r="106" spans="1:28">
      <c r="A106" t="str">
        <f t="shared" si="38"/>
        <v/>
      </c>
      <c r="B106" s="113">
        <v>-2.5</v>
      </c>
      <c r="C106" s="113">
        <f>-SQRT(3)/2*3</f>
        <v>-2.598076211353316</v>
      </c>
      <c r="D106" s="113">
        <f t="shared" si="40"/>
        <v>3.6055512754639891</v>
      </c>
      <c r="E106" s="113" t="str">
        <f t="shared" si="32"/>
        <v/>
      </c>
      <c r="F106" s="113" t="str">
        <f t="shared" si="32"/>
        <v/>
      </c>
      <c r="G106" s="113" t="str">
        <f t="shared" si="39"/>
        <v/>
      </c>
      <c r="J106" s="116" t="str">
        <f t="shared" si="33"/>
        <v/>
      </c>
      <c r="K106" s="119" t="str">
        <f t="shared" si="24"/>
        <v/>
      </c>
      <c r="L106" s="98" t="str">
        <f t="shared" si="25"/>
        <v/>
      </c>
      <c r="M106" s="101" t="str">
        <f t="shared" si="34"/>
        <v/>
      </c>
      <c r="O106" s="100" t="str">
        <f t="shared" si="26"/>
        <v/>
      </c>
      <c r="P106" s="119" t="str">
        <f>IF('Temperature in bundle'!$P$4="Current = 1A per pair",2,IF($A106="","",('Temperature in bundle'!$Q$6-('Temperature in bundle'!$Q$6^2-4*(O106+Q$7)*'Temperature in bundle'!$Q$7)^0.5)/2/(O106+Q$7)))</f>
        <v/>
      </c>
      <c r="Q106" s="98" t="str">
        <f t="shared" si="27"/>
        <v/>
      </c>
      <c r="R106" s="101" t="str">
        <f t="shared" si="35"/>
        <v/>
      </c>
      <c r="T106" s="100" t="str">
        <f t="shared" si="28"/>
        <v/>
      </c>
      <c r="U106" s="119" t="str">
        <f>IF('Temperature in bundle'!$P$4="Current = 1A per pair",2,IF($A106="","",('Temperature in bundle'!$Q$6-('Temperature in bundle'!$Q$6^2-4*(T106+V$7)*'Temperature in bundle'!$Q$7)^0.5)/2/(T106+V$7)))</f>
        <v/>
      </c>
      <c r="V106" s="98" t="str">
        <f t="shared" si="29"/>
        <v/>
      </c>
      <c r="W106" s="101" t="str">
        <f t="shared" si="36"/>
        <v/>
      </c>
      <c r="Y106" s="100" t="str">
        <f t="shared" si="30"/>
        <v/>
      </c>
      <c r="Z106" s="119" t="str">
        <f>IF('Temperature in bundle'!$P$4="Current = 1A per pair",2,IF($A106="","",('Temperature in bundle'!$Q$6-('Temperature in bundle'!$Q$6^2-4*(Y106+AA$7)*'Temperature in bundle'!$Q$7)^0.5)/2/(Y106+AA$7)))</f>
        <v/>
      </c>
      <c r="AA106" s="98" t="str">
        <f t="shared" si="31"/>
        <v/>
      </c>
      <c r="AB106" s="101" t="str">
        <f t="shared" si="37"/>
        <v/>
      </c>
    </row>
    <row r="107" spans="1:28">
      <c r="A107" t="str">
        <f t="shared" si="38"/>
        <v/>
      </c>
      <c r="B107" s="113">
        <v>-2</v>
      </c>
      <c r="C107" s="113">
        <f>-SQRT(3)/2*4</f>
        <v>-3.4641016151377544</v>
      </c>
      <c r="D107" s="113">
        <f t="shared" si="40"/>
        <v>4</v>
      </c>
      <c r="E107" s="113" t="str">
        <f t="shared" si="32"/>
        <v/>
      </c>
      <c r="F107" s="113" t="str">
        <f t="shared" si="32"/>
        <v/>
      </c>
      <c r="G107" s="113" t="str">
        <f t="shared" si="39"/>
        <v/>
      </c>
      <c r="J107" s="116" t="str">
        <f t="shared" si="33"/>
        <v/>
      </c>
      <c r="K107" s="119" t="str">
        <f t="shared" si="24"/>
        <v/>
      </c>
      <c r="L107" s="98" t="str">
        <f t="shared" si="25"/>
        <v/>
      </c>
      <c r="M107" s="101" t="str">
        <f t="shared" si="34"/>
        <v/>
      </c>
      <c r="O107" s="100" t="str">
        <f t="shared" si="26"/>
        <v/>
      </c>
      <c r="P107" s="119" t="str">
        <f>IF('Temperature in bundle'!$P$4="Current = 1A per pair",2,IF($A107="","",('Temperature in bundle'!$Q$6-('Temperature in bundle'!$Q$6^2-4*(O107+Q$7)*'Temperature in bundle'!$Q$7)^0.5)/2/(O107+Q$7)))</f>
        <v/>
      </c>
      <c r="Q107" s="98" t="str">
        <f t="shared" si="27"/>
        <v/>
      </c>
      <c r="R107" s="101" t="str">
        <f t="shared" si="35"/>
        <v/>
      </c>
      <c r="T107" s="100" t="str">
        <f t="shared" si="28"/>
        <v/>
      </c>
      <c r="U107" s="119" t="str">
        <f>IF('Temperature in bundle'!$P$4="Current = 1A per pair",2,IF($A107="","",('Temperature in bundle'!$Q$6-('Temperature in bundle'!$Q$6^2-4*(T107+V$7)*'Temperature in bundle'!$Q$7)^0.5)/2/(T107+V$7)))</f>
        <v/>
      </c>
      <c r="V107" s="98" t="str">
        <f t="shared" si="29"/>
        <v/>
      </c>
      <c r="W107" s="101" t="str">
        <f t="shared" si="36"/>
        <v/>
      </c>
      <c r="Y107" s="100" t="str">
        <f t="shared" si="30"/>
        <v/>
      </c>
      <c r="Z107" s="119" t="str">
        <f>IF('Temperature in bundle'!$P$4="Current = 1A per pair",2,IF($A107="","",('Temperature in bundle'!$Q$6-('Temperature in bundle'!$Q$6^2-4*(Y107+AA$7)*'Temperature in bundle'!$Q$7)^0.5)/2/(Y107+AA$7)))</f>
        <v/>
      </c>
      <c r="AA107" s="98" t="str">
        <f t="shared" si="31"/>
        <v/>
      </c>
      <c r="AB107" s="101" t="str">
        <f t="shared" si="37"/>
        <v/>
      </c>
    </row>
    <row r="108" spans="1:28">
      <c r="A108" t="str">
        <f t="shared" si="38"/>
        <v/>
      </c>
      <c r="B108" s="113">
        <v>-1</v>
      </c>
      <c r="C108" s="113">
        <f>-SQRT(3)/2*4</f>
        <v>-3.4641016151377544</v>
      </c>
      <c r="D108" s="113">
        <f t="shared" si="40"/>
        <v>3.6055512754639891</v>
      </c>
      <c r="E108" s="113" t="str">
        <f t="shared" si="32"/>
        <v/>
      </c>
      <c r="F108" s="113" t="str">
        <f t="shared" si="32"/>
        <v/>
      </c>
      <c r="G108" s="113" t="str">
        <f t="shared" si="39"/>
        <v/>
      </c>
      <c r="J108" s="116" t="str">
        <f t="shared" si="33"/>
        <v/>
      </c>
      <c r="K108" s="119" t="str">
        <f t="shared" si="24"/>
        <v/>
      </c>
      <c r="L108" s="98" t="str">
        <f t="shared" si="25"/>
        <v/>
      </c>
      <c r="M108" s="101" t="str">
        <f t="shared" si="34"/>
        <v/>
      </c>
      <c r="O108" s="100" t="str">
        <f t="shared" si="26"/>
        <v/>
      </c>
      <c r="P108" s="119" t="str">
        <f>IF('Temperature in bundle'!$P$4="Current = 1A per pair",2,IF($A108="","",('Temperature in bundle'!$Q$6-('Temperature in bundle'!$Q$6^2-4*(O108+Q$7)*'Temperature in bundle'!$Q$7)^0.5)/2/(O108+Q$7)))</f>
        <v/>
      </c>
      <c r="Q108" s="98" t="str">
        <f t="shared" si="27"/>
        <v/>
      </c>
      <c r="R108" s="101" t="str">
        <f t="shared" si="35"/>
        <v/>
      </c>
      <c r="T108" s="100" t="str">
        <f t="shared" si="28"/>
        <v/>
      </c>
      <c r="U108" s="119" t="str">
        <f>IF('Temperature in bundle'!$P$4="Current = 1A per pair",2,IF($A108="","",('Temperature in bundle'!$Q$6-('Temperature in bundle'!$Q$6^2-4*(T108+V$7)*'Temperature in bundle'!$Q$7)^0.5)/2/(T108+V$7)))</f>
        <v/>
      </c>
      <c r="V108" s="98" t="str">
        <f t="shared" si="29"/>
        <v/>
      </c>
      <c r="W108" s="101" t="str">
        <f t="shared" si="36"/>
        <v/>
      </c>
      <c r="Y108" s="100" t="str">
        <f t="shared" si="30"/>
        <v/>
      </c>
      <c r="Z108" s="119" t="str">
        <f>IF('Temperature in bundle'!$P$4="Current = 1A per pair",2,IF($A108="","",('Temperature in bundle'!$Q$6-('Temperature in bundle'!$Q$6^2-4*(Y108+AA$7)*'Temperature in bundle'!$Q$7)^0.5)/2/(Y108+AA$7)))</f>
        <v/>
      </c>
      <c r="AA108" s="98" t="str">
        <f t="shared" si="31"/>
        <v/>
      </c>
      <c r="AB108" s="101" t="str">
        <f t="shared" si="37"/>
        <v/>
      </c>
    </row>
    <row r="109" spans="1:28">
      <c r="A109" t="str">
        <f t="shared" si="38"/>
        <v/>
      </c>
      <c r="B109" s="113">
        <v>0</v>
      </c>
      <c r="C109" s="113">
        <f>-SQRT(3)/2*4</f>
        <v>-3.4641016151377544</v>
      </c>
      <c r="D109" s="113">
        <f t="shared" si="40"/>
        <v>3.4641016151377544</v>
      </c>
      <c r="E109" s="113" t="str">
        <f t="shared" si="32"/>
        <v/>
      </c>
      <c r="F109" s="113" t="str">
        <f t="shared" si="32"/>
        <v/>
      </c>
      <c r="G109" s="113" t="str">
        <f t="shared" si="39"/>
        <v/>
      </c>
      <c r="J109" s="116" t="str">
        <f t="shared" si="33"/>
        <v/>
      </c>
      <c r="K109" s="119" t="str">
        <f t="shared" si="24"/>
        <v/>
      </c>
      <c r="L109" s="98" t="str">
        <f t="shared" si="25"/>
        <v/>
      </c>
      <c r="M109" s="101" t="str">
        <f t="shared" si="34"/>
        <v/>
      </c>
      <c r="O109" s="100" t="str">
        <f t="shared" si="26"/>
        <v/>
      </c>
      <c r="P109" s="119" t="str">
        <f>IF('Temperature in bundle'!$P$4="Current = 1A per pair",2,IF($A109="","",('Temperature in bundle'!$Q$6-('Temperature in bundle'!$Q$6^2-4*(O109+Q$7)*'Temperature in bundle'!$Q$7)^0.5)/2/(O109+Q$7)))</f>
        <v/>
      </c>
      <c r="Q109" s="98" t="str">
        <f t="shared" si="27"/>
        <v/>
      </c>
      <c r="R109" s="101" t="str">
        <f t="shared" si="35"/>
        <v/>
      </c>
      <c r="T109" s="100" t="str">
        <f t="shared" si="28"/>
        <v/>
      </c>
      <c r="U109" s="119" t="str">
        <f>IF('Temperature in bundle'!$P$4="Current = 1A per pair",2,IF($A109="","",('Temperature in bundle'!$Q$6-('Temperature in bundle'!$Q$6^2-4*(T109+V$7)*'Temperature in bundle'!$Q$7)^0.5)/2/(T109+V$7)))</f>
        <v/>
      </c>
      <c r="V109" s="98" t="str">
        <f t="shared" si="29"/>
        <v/>
      </c>
      <c r="W109" s="101" t="str">
        <f t="shared" si="36"/>
        <v/>
      </c>
      <c r="Y109" s="100" t="str">
        <f t="shared" si="30"/>
        <v/>
      </c>
      <c r="Z109" s="119" t="str">
        <f>IF('Temperature in bundle'!$P$4="Current = 1A per pair",2,IF($A109="","",('Temperature in bundle'!$Q$6-('Temperature in bundle'!$Q$6^2-4*(Y109+AA$7)*'Temperature in bundle'!$Q$7)^0.5)/2/(Y109+AA$7)))</f>
        <v/>
      </c>
      <c r="AA109" s="98" t="str">
        <f t="shared" si="31"/>
        <v/>
      </c>
      <c r="AB109" s="101" t="str">
        <f t="shared" si="37"/>
        <v/>
      </c>
    </row>
    <row r="110" spans="1:28">
      <c r="A110" t="str">
        <f t="shared" si="38"/>
        <v/>
      </c>
      <c r="B110" s="113">
        <v>1</v>
      </c>
      <c r="C110" s="113">
        <f>-SQRT(3)/2*4</f>
        <v>-3.4641016151377544</v>
      </c>
      <c r="D110" s="113">
        <f t="shared" si="40"/>
        <v>3.6055512754639891</v>
      </c>
      <c r="E110" s="113" t="str">
        <f t="shared" si="32"/>
        <v/>
      </c>
      <c r="F110" s="113" t="str">
        <f t="shared" si="32"/>
        <v/>
      </c>
      <c r="G110" s="113" t="str">
        <f t="shared" si="39"/>
        <v/>
      </c>
      <c r="J110" s="116" t="str">
        <f t="shared" si="33"/>
        <v/>
      </c>
      <c r="K110" s="119" t="str">
        <f t="shared" si="24"/>
        <v/>
      </c>
      <c r="L110" s="98" t="str">
        <f t="shared" si="25"/>
        <v/>
      </c>
      <c r="M110" s="101" t="str">
        <f t="shared" si="34"/>
        <v/>
      </c>
      <c r="O110" s="100" t="str">
        <f t="shared" si="26"/>
        <v/>
      </c>
      <c r="P110" s="119" t="str">
        <f>IF('Temperature in bundle'!$P$4="Current = 1A per pair",2,IF($A110="","",('Temperature in bundle'!$Q$6-('Temperature in bundle'!$Q$6^2-4*(O110+Q$7)*'Temperature in bundle'!$Q$7)^0.5)/2/(O110+Q$7)))</f>
        <v/>
      </c>
      <c r="Q110" s="98" t="str">
        <f t="shared" si="27"/>
        <v/>
      </c>
      <c r="R110" s="101" t="str">
        <f t="shared" si="35"/>
        <v/>
      </c>
      <c r="T110" s="100" t="str">
        <f t="shared" si="28"/>
        <v/>
      </c>
      <c r="U110" s="119" t="str">
        <f>IF('Temperature in bundle'!$P$4="Current = 1A per pair",2,IF($A110="","",('Temperature in bundle'!$Q$6-('Temperature in bundle'!$Q$6^2-4*(T110+V$7)*'Temperature in bundle'!$Q$7)^0.5)/2/(T110+V$7)))</f>
        <v/>
      </c>
      <c r="V110" s="98" t="str">
        <f t="shared" si="29"/>
        <v/>
      </c>
      <c r="W110" s="101" t="str">
        <f t="shared" si="36"/>
        <v/>
      </c>
      <c r="Y110" s="100" t="str">
        <f t="shared" si="30"/>
        <v/>
      </c>
      <c r="Z110" s="119" t="str">
        <f>IF('Temperature in bundle'!$P$4="Current = 1A per pair",2,IF($A110="","",('Temperature in bundle'!$Q$6-('Temperature in bundle'!$Q$6^2-4*(Y110+AA$7)*'Temperature in bundle'!$Q$7)^0.5)/2/(Y110+AA$7)))</f>
        <v/>
      </c>
      <c r="AA110" s="98" t="str">
        <f t="shared" si="31"/>
        <v/>
      </c>
      <c r="AB110" s="101" t="str">
        <f t="shared" si="37"/>
        <v/>
      </c>
    </row>
    <row r="111" spans="1:28">
      <c r="A111" t="str">
        <f t="shared" si="38"/>
        <v/>
      </c>
      <c r="B111" s="113">
        <v>2</v>
      </c>
      <c r="C111" s="113">
        <f>-SQRT(3)/2*4</f>
        <v>-3.4641016151377544</v>
      </c>
      <c r="D111" s="113">
        <f t="shared" si="40"/>
        <v>4</v>
      </c>
      <c r="E111" s="113" t="str">
        <f t="shared" si="32"/>
        <v/>
      </c>
      <c r="F111" s="113" t="str">
        <f t="shared" si="32"/>
        <v/>
      </c>
      <c r="G111" s="113" t="str">
        <f t="shared" si="39"/>
        <v/>
      </c>
      <c r="J111" s="116" t="str">
        <f t="shared" si="33"/>
        <v/>
      </c>
      <c r="K111" s="119" t="str">
        <f t="shared" si="24"/>
        <v/>
      </c>
      <c r="L111" s="98" t="str">
        <f t="shared" si="25"/>
        <v/>
      </c>
      <c r="M111" s="101" t="str">
        <f t="shared" si="34"/>
        <v/>
      </c>
      <c r="O111" s="100" t="str">
        <f t="shared" si="26"/>
        <v/>
      </c>
      <c r="P111" s="119" t="str">
        <f>IF('Temperature in bundle'!$P$4="Current = 1A per pair",2,IF($A111="","",('Temperature in bundle'!$Q$6-('Temperature in bundle'!$Q$6^2-4*(O111+Q$7)*'Temperature in bundle'!$Q$7)^0.5)/2/(O111+Q$7)))</f>
        <v/>
      </c>
      <c r="Q111" s="98" t="str">
        <f t="shared" si="27"/>
        <v/>
      </c>
      <c r="R111" s="101" t="str">
        <f t="shared" si="35"/>
        <v/>
      </c>
      <c r="T111" s="100" t="str">
        <f t="shared" si="28"/>
        <v/>
      </c>
      <c r="U111" s="119" t="str">
        <f>IF('Temperature in bundle'!$P$4="Current = 1A per pair",2,IF($A111="","",('Temperature in bundle'!$Q$6-('Temperature in bundle'!$Q$6^2-4*(T111+V$7)*'Temperature in bundle'!$Q$7)^0.5)/2/(T111+V$7)))</f>
        <v/>
      </c>
      <c r="V111" s="98" t="str">
        <f t="shared" si="29"/>
        <v/>
      </c>
      <c r="W111" s="101" t="str">
        <f t="shared" si="36"/>
        <v/>
      </c>
      <c r="Y111" s="100" t="str">
        <f t="shared" si="30"/>
        <v/>
      </c>
      <c r="Z111" s="119" t="str">
        <f>IF('Temperature in bundle'!$P$4="Current = 1A per pair",2,IF($A111="","",('Temperature in bundle'!$Q$6-('Temperature in bundle'!$Q$6^2-4*(Y111+AA$7)*'Temperature in bundle'!$Q$7)^0.5)/2/(Y111+AA$7)))</f>
        <v/>
      </c>
      <c r="AA111" s="98" t="str">
        <f t="shared" si="31"/>
        <v/>
      </c>
      <c r="AB111" s="101" t="str">
        <f t="shared" si="37"/>
        <v/>
      </c>
    </row>
    <row r="112" spans="1:28">
      <c r="A112" t="str">
        <f t="shared" si="38"/>
        <v/>
      </c>
      <c r="B112" s="113">
        <v>3</v>
      </c>
      <c r="C112" s="113">
        <f>(SQRT(3)/2*4)*-1</f>
        <v>-3.4641016151377544</v>
      </c>
      <c r="D112" s="113">
        <f t="shared" si="40"/>
        <v>4.5825756949558398</v>
      </c>
      <c r="E112" s="113" t="str">
        <f t="shared" si="32"/>
        <v/>
      </c>
      <c r="F112" s="113" t="str">
        <f t="shared" si="32"/>
        <v/>
      </c>
      <c r="G112" s="113" t="str">
        <f t="shared" si="39"/>
        <v/>
      </c>
      <c r="J112" s="116" t="str">
        <f t="shared" si="33"/>
        <v/>
      </c>
      <c r="K112" s="119" t="str">
        <f t="shared" si="24"/>
        <v/>
      </c>
      <c r="L112" s="98" t="str">
        <f t="shared" si="25"/>
        <v/>
      </c>
      <c r="M112" s="101" t="str">
        <f t="shared" si="34"/>
        <v/>
      </c>
      <c r="O112" s="100" t="str">
        <f t="shared" si="26"/>
        <v/>
      </c>
      <c r="P112" s="119" t="str">
        <f>IF('Temperature in bundle'!$P$4="Current = 1A per pair",2,IF($A112="","",('Temperature in bundle'!$Q$6-('Temperature in bundle'!$Q$6^2-4*(O112+Q$7)*'Temperature in bundle'!$Q$7)^0.5)/2/(O112+Q$7)))</f>
        <v/>
      </c>
      <c r="Q112" s="98" t="str">
        <f t="shared" si="27"/>
        <v/>
      </c>
      <c r="R112" s="101" t="str">
        <f t="shared" si="35"/>
        <v/>
      </c>
      <c r="T112" s="100" t="str">
        <f t="shared" si="28"/>
        <v/>
      </c>
      <c r="U112" s="119" t="str">
        <f>IF('Temperature in bundle'!$P$4="Current = 1A per pair",2,IF($A112="","",('Temperature in bundle'!$Q$6-('Temperature in bundle'!$Q$6^2-4*(T112+V$7)*'Temperature in bundle'!$Q$7)^0.5)/2/(T112+V$7)))</f>
        <v/>
      </c>
      <c r="V112" s="98" t="str">
        <f t="shared" si="29"/>
        <v/>
      </c>
      <c r="W112" s="101" t="str">
        <f t="shared" si="36"/>
        <v/>
      </c>
      <c r="Y112" s="100" t="str">
        <f t="shared" si="30"/>
        <v/>
      </c>
      <c r="Z112" s="119" t="str">
        <f>IF('Temperature in bundle'!$P$4="Current = 1A per pair",2,IF($A112="","",('Temperature in bundle'!$Q$6-('Temperature in bundle'!$Q$6^2-4*(Y112+AA$7)*'Temperature in bundle'!$Q$7)^0.5)/2/(Y112+AA$7)))</f>
        <v/>
      </c>
      <c r="AA112" s="98" t="str">
        <f t="shared" si="31"/>
        <v/>
      </c>
      <c r="AB112" s="101" t="str">
        <f t="shared" si="37"/>
        <v/>
      </c>
    </row>
    <row r="113" spans="1:28">
      <c r="A113" t="str">
        <f t="shared" si="38"/>
        <v/>
      </c>
      <c r="B113" s="113">
        <v>3.5</v>
      </c>
      <c r="C113" s="113">
        <f>(SQRT(3)/2*3)*-1</f>
        <v>-2.598076211353316</v>
      </c>
      <c r="D113" s="113">
        <f t="shared" si="40"/>
        <v>4.358898943540674</v>
      </c>
      <c r="E113" s="113" t="str">
        <f t="shared" si="32"/>
        <v/>
      </c>
      <c r="F113" s="113" t="str">
        <f t="shared" si="32"/>
        <v/>
      </c>
      <c r="G113" s="113" t="str">
        <f t="shared" si="39"/>
        <v/>
      </c>
      <c r="J113" s="116" t="str">
        <f t="shared" si="33"/>
        <v/>
      </c>
      <c r="K113" s="119" t="str">
        <f t="shared" si="24"/>
        <v/>
      </c>
      <c r="L113" s="98" t="str">
        <f t="shared" si="25"/>
        <v/>
      </c>
      <c r="M113" s="101" t="str">
        <f t="shared" si="34"/>
        <v/>
      </c>
      <c r="O113" s="100" t="str">
        <f t="shared" si="26"/>
        <v/>
      </c>
      <c r="P113" s="119" t="str">
        <f>IF('Temperature in bundle'!$P$4="Current = 1A per pair",2,IF($A113="","",('Temperature in bundle'!$Q$6-('Temperature in bundle'!$Q$6^2-4*(O113+Q$7)*'Temperature in bundle'!$Q$7)^0.5)/2/(O113+Q$7)))</f>
        <v/>
      </c>
      <c r="Q113" s="98" t="str">
        <f t="shared" si="27"/>
        <v/>
      </c>
      <c r="R113" s="101" t="str">
        <f t="shared" si="35"/>
        <v/>
      </c>
      <c r="T113" s="100" t="str">
        <f t="shared" si="28"/>
        <v/>
      </c>
      <c r="U113" s="119" t="str">
        <f>IF('Temperature in bundle'!$P$4="Current = 1A per pair",2,IF($A113="","",('Temperature in bundle'!$Q$6-('Temperature in bundle'!$Q$6^2-4*(T113+V$7)*'Temperature in bundle'!$Q$7)^0.5)/2/(T113+V$7)))</f>
        <v/>
      </c>
      <c r="V113" s="98" t="str">
        <f t="shared" si="29"/>
        <v/>
      </c>
      <c r="W113" s="101" t="str">
        <f t="shared" si="36"/>
        <v/>
      </c>
      <c r="Y113" s="100" t="str">
        <f t="shared" si="30"/>
        <v/>
      </c>
      <c r="Z113" s="119" t="str">
        <f>IF('Temperature in bundle'!$P$4="Current = 1A per pair",2,IF($A113="","",('Temperature in bundle'!$Q$6-('Temperature in bundle'!$Q$6^2-4*(Y113+AA$7)*'Temperature in bundle'!$Q$7)^0.5)/2/(Y113+AA$7)))</f>
        <v/>
      </c>
      <c r="AA113" s="98" t="str">
        <f t="shared" si="31"/>
        <v/>
      </c>
      <c r="AB113" s="101" t="str">
        <f t="shared" si="37"/>
        <v/>
      </c>
    </row>
    <row r="114" spans="1:28">
      <c r="A114" t="str">
        <f t="shared" si="38"/>
        <v/>
      </c>
      <c r="B114" s="113">
        <v>4</v>
      </c>
      <c r="C114" s="113">
        <f>(SQRT(3)/2*2)*-1</f>
        <v>-1.7320508075688772</v>
      </c>
      <c r="D114" s="113">
        <f t="shared" si="40"/>
        <v>4.358898943540674</v>
      </c>
      <c r="E114" s="113" t="str">
        <f t="shared" si="32"/>
        <v/>
      </c>
      <c r="F114" s="113" t="str">
        <f t="shared" si="32"/>
        <v/>
      </c>
      <c r="G114" s="113" t="str">
        <f t="shared" si="39"/>
        <v/>
      </c>
      <c r="J114" s="116" t="str">
        <f t="shared" si="33"/>
        <v/>
      </c>
      <c r="K114" s="119" t="str">
        <f t="shared" si="24"/>
        <v/>
      </c>
      <c r="L114" s="98" t="str">
        <f t="shared" si="25"/>
        <v/>
      </c>
      <c r="M114" s="101" t="str">
        <f t="shared" si="34"/>
        <v/>
      </c>
      <c r="O114" s="100" t="str">
        <f t="shared" si="26"/>
        <v/>
      </c>
      <c r="P114" s="119" t="str">
        <f>IF('Temperature in bundle'!$P$4="Current = 1A per pair",2,IF($A114="","",('Temperature in bundle'!$Q$6-('Temperature in bundle'!$Q$6^2-4*(O114+Q$7)*'Temperature in bundle'!$Q$7)^0.5)/2/(O114+Q$7)))</f>
        <v/>
      </c>
      <c r="Q114" s="98" t="str">
        <f t="shared" si="27"/>
        <v/>
      </c>
      <c r="R114" s="101" t="str">
        <f t="shared" si="35"/>
        <v/>
      </c>
      <c r="T114" s="100" t="str">
        <f t="shared" si="28"/>
        <v/>
      </c>
      <c r="U114" s="119" t="str">
        <f>IF('Temperature in bundle'!$P$4="Current = 1A per pair",2,IF($A114="","",('Temperature in bundle'!$Q$6-('Temperature in bundle'!$Q$6^2-4*(T114+V$7)*'Temperature in bundle'!$Q$7)^0.5)/2/(T114+V$7)))</f>
        <v/>
      </c>
      <c r="V114" s="98" t="str">
        <f t="shared" si="29"/>
        <v/>
      </c>
      <c r="W114" s="101" t="str">
        <f t="shared" si="36"/>
        <v/>
      </c>
      <c r="Y114" s="100" t="str">
        <f t="shared" si="30"/>
        <v/>
      </c>
      <c r="Z114" s="119" t="str">
        <f>IF('Temperature in bundle'!$P$4="Current = 1A per pair",2,IF($A114="","",('Temperature in bundle'!$Q$6-('Temperature in bundle'!$Q$6^2-4*(Y114+AA$7)*'Temperature in bundle'!$Q$7)^0.5)/2/(Y114+AA$7)))</f>
        <v/>
      </c>
      <c r="AA114" s="98" t="str">
        <f t="shared" si="31"/>
        <v/>
      </c>
      <c r="AB114" s="101" t="str">
        <f t="shared" si="37"/>
        <v/>
      </c>
    </row>
    <row r="115" spans="1:28">
      <c r="A115" t="str">
        <f t="shared" si="38"/>
        <v/>
      </c>
      <c r="B115" s="113">
        <v>4.5</v>
      </c>
      <c r="C115" s="113">
        <f>(SQRT(3)/2*1)*-1</f>
        <v>-0.8660254037844386</v>
      </c>
      <c r="D115" s="113">
        <f t="shared" si="40"/>
        <v>4.5825756949558398</v>
      </c>
      <c r="E115" s="113" t="str">
        <f t="shared" si="32"/>
        <v/>
      </c>
      <c r="F115" s="113" t="str">
        <f t="shared" si="32"/>
        <v/>
      </c>
      <c r="G115" s="113" t="str">
        <f t="shared" si="39"/>
        <v/>
      </c>
      <c r="J115" s="116" t="str">
        <f t="shared" si="33"/>
        <v/>
      </c>
      <c r="K115" s="119" t="str">
        <f t="shared" ref="K115:K178" si="45">IF($A115="","",$C$12)</f>
        <v/>
      </c>
      <c r="L115" s="98" t="str">
        <f t="shared" ref="L115:L178" si="46">IF($A115="","",J115*K115^2)</f>
        <v/>
      </c>
      <c r="M115" s="101" t="str">
        <f t="shared" si="34"/>
        <v/>
      </c>
      <c r="O115" s="100" t="str">
        <f t="shared" ref="O115:O178" si="47">IF($A115="","",$J115*(1+0.0039*M115))</f>
        <v/>
      </c>
      <c r="P115" s="119" t="str">
        <f>IF('Temperature in bundle'!$P$4="Current = 1A per pair",2,IF($A115="","",('Temperature in bundle'!$Q$6-('Temperature in bundle'!$Q$6^2-4*(O115+Q$7)*'Temperature in bundle'!$Q$7)^0.5)/2/(O115+Q$7)))</f>
        <v/>
      </c>
      <c r="Q115" s="98" t="str">
        <f t="shared" ref="Q115:Q178" si="48">IF($A115="","",O115*P115^2)</f>
        <v/>
      </c>
      <c r="R115" s="101" t="str">
        <f t="shared" si="35"/>
        <v/>
      </c>
      <c r="T115" s="100" t="str">
        <f t="shared" ref="T115:T178" si="49">IF($A115="","",$J115*(1+0.0039*R115))</f>
        <v/>
      </c>
      <c r="U115" s="119" t="str">
        <f>IF('Temperature in bundle'!$P$4="Current = 1A per pair",2,IF($A115="","",('Temperature in bundle'!$Q$6-('Temperature in bundle'!$Q$6^2-4*(T115+V$7)*'Temperature in bundle'!$Q$7)^0.5)/2/(T115+V$7)))</f>
        <v/>
      </c>
      <c r="V115" s="98" t="str">
        <f t="shared" ref="V115:V178" si="50">IF($A115="","",T115*U115^2)</f>
        <v/>
      </c>
      <c r="W115" s="101" t="str">
        <f t="shared" si="36"/>
        <v/>
      </c>
      <c r="Y115" s="100" t="str">
        <f t="shared" ref="Y115:Y178" si="51">IF($A115="","",$J115*(1+0.0039*W115))</f>
        <v/>
      </c>
      <c r="Z115" s="119" t="str">
        <f>IF('Temperature in bundle'!$P$4="Current = 1A per pair",2,IF($A115="","",('Temperature in bundle'!$Q$6-('Temperature in bundle'!$Q$6^2-4*(Y115+AA$7)*'Temperature in bundle'!$Q$7)^0.5)/2/(Y115+AA$7)))</f>
        <v/>
      </c>
      <c r="AA115" s="98" t="str">
        <f t="shared" ref="AA115:AA178" si="52">IF($A115="","",Y115*Z115^2)</f>
        <v/>
      </c>
      <c r="AB115" s="101" t="str">
        <f t="shared" si="37"/>
        <v/>
      </c>
    </row>
    <row r="116" spans="1:28">
      <c r="A116" t="str">
        <f t="shared" si="38"/>
        <v/>
      </c>
      <c r="B116" s="113">
        <v>5</v>
      </c>
      <c r="C116" s="113">
        <v>0</v>
      </c>
      <c r="D116" s="113">
        <f t="shared" si="40"/>
        <v>5</v>
      </c>
      <c r="E116" s="113" t="str">
        <f t="shared" ref="E116:F179" si="53">IF($A116="","",B116)</f>
        <v/>
      </c>
      <c r="F116" s="113" t="str">
        <f t="shared" si="53"/>
        <v/>
      </c>
      <c r="G116" s="113" t="str">
        <f t="shared" si="39"/>
        <v/>
      </c>
      <c r="J116" s="116" t="str">
        <f t="shared" ref="J116:J179" si="54">IF($A116="","",$E$10)</f>
        <v/>
      </c>
      <c r="K116" s="119" t="str">
        <f t="shared" si="45"/>
        <v/>
      </c>
      <c r="L116" s="98" t="str">
        <f t="shared" si="46"/>
        <v/>
      </c>
      <c r="M116" s="101" t="str">
        <f t="shared" ref="M116:M179" si="55">IF($A116="","",L$3+L$4*(1-3.63*$G116^2/$E$15))</f>
        <v/>
      </c>
      <c r="O116" s="100" t="str">
        <f t="shared" si="47"/>
        <v/>
      </c>
      <c r="P116" s="119" t="str">
        <f>IF('Temperature in bundle'!$P$4="Current = 1A per pair",2,IF($A116="","",('Temperature in bundle'!$Q$6-('Temperature in bundle'!$Q$6^2-4*(O116+Q$7)*'Temperature in bundle'!$Q$7)^0.5)/2/(O116+Q$7)))</f>
        <v/>
      </c>
      <c r="Q116" s="98" t="str">
        <f t="shared" si="48"/>
        <v/>
      </c>
      <c r="R116" s="101" t="str">
        <f t="shared" ref="R116:R179" si="56">IF($A116="","",Q$3+Q$4*(1-3.63*$G116^2/$E$15))</f>
        <v/>
      </c>
      <c r="T116" s="100" t="str">
        <f t="shared" si="49"/>
        <v/>
      </c>
      <c r="U116" s="119" t="str">
        <f>IF('Temperature in bundle'!$P$4="Current = 1A per pair",2,IF($A116="","",('Temperature in bundle'!$Q$6-('Temperature in bundle'!$Q$6^2-4*(T116+V$7)*'Temperature in bundle'!$Q$7)^0.5)/2/(T116+V$7)))</f>
        <v/>
      </c>
      <c r="V116" s="98" t="str">
        <f t="shared" si="50"/>
        <v/>
      </c>
      <c r="W116" s="101" t="str">
        <f t="shared" ref="W116:W179" si="57">IF($A116="","",V$3+V$4*(1-3.63*$G116^2/$E$15))</f>
        <v/>
      </c>
      <c r="Y116" s="100" t="str">
        <f t="shared" si="51"/>
        <v/>
      </c>
      <c r="Z116" s="119" t="str">
        <f>IF('Temperature in bundle'!$P$4="Current = 1A per pair",2,IF($A116="","",('Temperature in bundle'!$Q$6-('Temperature in bundle'!$Q$6^2-4*(Y116+AA$7)*'Temperature in bundle'!$Q$7)^0.5)/2/(Y116+AA$7)))</f>
        <v/>
      </c>
      <c r="AA116" s="98" t="str">
        <f t="shared" si="52"/>
        <v/>
      </c>
      <c r="AB116" s="101" t="str">
        <f t="shared" ref="AB116:AB179" si="58">IF($A116="","",AA$3+AA$4*(1-3.63*$G116^2/$E$15))</f>
        <v/>
      </c>
    </row>
    <row r="117" spans="1:28">
      <c r="A117" t="str">
        <f t="shared" ref="A117:A180" si="59">IF(A116&lt;E$15,A116+1,"")</f>
        <v/>
      </c>
      <c r="B117" s="113">
        <v>4.5</v>
      </c>
      <c r="C117" s="113">
        <f>SQRT(3)/2</f>
        <v>0.8660254037844386</v>
      </c>
      <c r="D117" s="113">
        <f t="shared" si="40"/>
        <v>4.5825756949558398</v>
      </c>
      <c r="E117" s="113" t="str">
        <f t="shared" si="53"/>
        <v/>
      </c>
      <c r="F117" s="113" t="str">
        <f t="shared" si="53"/>
        <v/>
      </c>
      <c r="G117" s="113" t="str">
        <f t="shared" ref="G117:G180" si="60">IF(A117="","",((E$50-E117)^2+(F$50-F117)^2)^0.5)</f>
        <v/>
      </c>
      <c r="J117" s="116" t="str">
        <f t="shared" si="54"/>
        <v/>
      </c>
      <c r="K117" s="119" t="str">
        <f t="shared" si="45"/>
        <v/>
      </c>
      <c r="L117" s="98" t="str">
        <f t="shared" si="46"/>
        <v/>
      </c>
      <c r="M117" s="101" t="str">
        <f t="shared" si="55"/>
        <v/>
      </c>
      <c r="O117" s="100" t="str">
        <f t="shared" si="47"/>
        <v/>
      </c>
      <c r="P117" s="119" t="str">
        <f>IF('Temperature in bundle'!$P$4="Current = 1A per pair",2,IF($A117="","",('Temperature in bundle'!$Q$6-('Temperature in bundle'!$Q$6^2-4*(O117+Q$7)*'Temperature in bundle'!$Q$7)^0.5)/2/(O117+Q$7)))</f>
        <v/>
      </c>
      <c r="Q117" s="98" t="str">
        <f t="shared" si="48"/>
        <v/>
      </c>
      <c r="R117" s="101" t="str">
        <f t="shared" si="56"/>
        <v/>
      </c>
      <c r="T117" s="100" t="str">
        <f t="shared" si="49"/>
        <v/>
      </c>
      <c r="U117" s="119" t="str">
        <f>IF('Temperature in bundle'!$P$4="Current = 1A per pair",2,IF($A117="","",('Temperature in bundle'!$Q$6-('Temperature in bundle'!$Q$6^2-4*(T117+V$7)*'Temperature in bundle'!$Q$7)^0.5)/2/(T117+V$7)))</f>
        <v/>
      </c>
      <c r="V117" s="98" t="str">
        <f t="shared" si="50"/>
        <v/>
      </c>
      <c r="W117" s="101" t="str">
        <f t="shared" si="57"/>
        <v/>
      </c>
      <c r="Y117" s="100" t="str">
        <f t="shared" si="51"/>
        <v/>
      </c>
      <c r="Z117" s="119" t="str">
        <f>IF('Temperature in bundle'!$P$4="Current = 1A per pair",2,IF($A117="","",('Temperature in bundle'!$Q$6-('Temperature in bundle'!$Q$6^2-4*(Y117+AA$7)*'Temperature in bundle'!$Q$7)^0.5)/2/(Y117+AA$7)))</f>
        <v/>
      </c>
      <c r="AA117" s="98" t="str">
        <f t="shared" si="52"/>
        <v/>
      </c>
      <c r="AB117" s="101" t="str">
        <f t="shared" si="58"/>
        <v/>
      </c>
    </row>
    <row r="118" spans="1:28">
      <c r="A118" t="str">
        <f t="shared" si="59"/>
        <v/>
      </c>
      <c r="B118" s="113">
        <v>4</v>
      </c>
      <c r="C118" s="113">
        <f>SQRT(3)/2*2</f>
        <v>1.7320508075688772</v>
      </c>
      <c r="D118" s="113">
        <f t="shared" ref="D118:D181" si="61">(B118^2+C118^2)^0.5</f>
        <v>4.358898943540674</v>
      </c>
      <c r="E118" s="113" t="str">
        <f t="shared" si="53"/>
        <v/>
      </c>
      <c r="F118" s="113" t="str">
        <f t="shared" si="53"/>
        <v/>
      </c>
      <c r="G118" s="113" t="str">
        <f t="shared" si="60"/>
        <v/>
      </c>
      <c r="J118" s="116" t="str">
        <f t="shared" si="54"/>
        <v/>
      </c>
      <c r="K118" s="119" t="str">
        <f t="shared" si="45"/>
        <v/>
      </c>
      <c r="L118" s="98" t="str">
        <f t="shared" si="46"/>
        <v/>
      </c>
      <c r="M118" s="101" t="str">
        <f t="shared" si="55"/>
        <v/>
      </c>
      <c r="O118" s="100" t="str">
        <f t="shared" si="47"/>
        <v/>
      </c>
      <c r="P118" s="119" t="str">
        <f>IF('Temperature in bundle'!$P$4="Current = 1A per pair",2,IF($A118="","",('Temperature in bundle'!$Q$6-('Temperature in bundle'!$Q$6^2-4*(O118+Q$7)*'Temperature in bundle'!$Q$7)^0.5)/2/(O118+Q$7)))</f>
        <v/>
      </c>
      <c r="Q118" s="98" t="str">
        <f t="shared" si="48"/>
        <v/>
      </c>
      <c r="R118" s="101" t="str">
        <f t="shared" si="56"/>
        <v/>
      </c>
      <c r="T118" s="100" t="str">
        <f t="shared" si="49"/>
        <v/>
      </c>
      <c r="U118" s="119" t="str">
        <f>IF('Temperature in bundle'!$P$4="Current = 1A per pair",2,IF($A118="","",('Temperature in bundle'!$Q$6-('Temperature in bundle'!$Q$6^2-4*(T118+V$7)*'Temperature in bundle'!$Q$7)^0.5)/2/(T118+V$7)))</f>
        <v/>
      </c>
      <c r="V118" s="98" t="str">
        <f t="shared" si="50"/>
        <v/>
      </c>
      <c r="W118" s="101" t="str">
        <f t="shared" si="57"/>
        <v/>
      </c>
      <c r="Y118" s="100" t="str">
        <f t="shared" si="51"/>
        <v/>
      </c>
      <c r="Z118" s="119" t="str">
        <f>IF('Temperature in bundle'!$P$4="Current = 1A per pair",2,IF($A118="","",('Temperature in bundle'!$Q$6-('Temperature in bundle'!$Q$6^2-4*(Y118+AA$7)*'Temperature in bundle'!$Q$7)^0.5)/2/(Y118+AA$7)))</f>
        <v/>
      </c>
      <c r="AA118" s="98" t="str">
        <f t="shared" si="52"/>
        <v/>
      </c>
      <c r="AB118" s="101" t="str">
        <f t="shared" si="58"/>
        <v/>
      </c>
    </row>
    <row r="119" spans="1:28">
      <c r="A119" t="str">
        <f t="shared" si="59"/>
        <v/>
      </c>
      <c r="B119" s="113">
        <v>3.5</v>
      </c>
      <c r="C119" s="113">
        <f>SQRT(3)/2*3</f>
        <v>2.598076211353316</v>
      </c>
      <c r="D119" s="113">
        <f t="shared" si="61"/>
        <v>4.358898943540674</v>
      </c>
      <c r="E119" s="113" t="str">
        <f t="shared" si="53"/>
        <v/>
      </c>
      <c r="F119" s="113" t="str">
        <f t="shared" si="53"/>
        <v/>
      </c>
      <c r="G119" s="113" t="str">
        <f t="shared" si="60"/>
        <v/>
      </c>
      <c r="J119" s="116" t="str">
        <f t="shared" si="54"/>
        <v/>
      </c>
      <c r="K119" s="119" t="str">
        <f t="shared" si="45"/>
        <v/>
      </c>
      <c r="L119" s="98" t="str">
        <f t="shared" si="46"/>
        <v/>
      </c>
      <c r="M119" s="101" t="str">
        <f t="shared" si="55"/>
        <v/>
      </c>
      <c r="O119" s="100" t="str">
        <f t="shared" si="47"/>
        <v/>
      </c>
      <c r="P119" s="119" t="str">
        <f>IF('Temperature in bundle'!$P$4="Current = 1A per pair",2,IF($A119="","",('Temperature in bundle'!$Q$6-('Temperature in bundle'!$Q$6^2-4*(O119+Q$7)*'Temperature in bundle'!$Q$7)^0.5)/2/(O119+Q$7)))</f>
        <v/>
      </c>
      <c r="Q119" s="98" t="str">
        <f t="shared" si="48"/>
        <v/>
      </c>
      <c r="R119" s="101" t="str">
        <f t="shared" si="56"/>
        <v/>
      </c>
      <c r="T119" s="100" t="str">
        <f t="shared" si="49"/>
        <v/>
      </c>
      <c r="U119" s="119" t="str">
        <f>IF('Temperature in bundle'!$P$4="Current = 1A per pair",2,IF($A119="","",('Temperature in bundle'!$Q$6-('Temperature in bundle'!$Q$6^2-4*(T119+V$7)*'Temperature in bundle'!$Q$7)^0.5)/2/(T119+V$7)))</f>
        <v/>
      </c>
      <c r="V119" s="98" t="str">
        <f t="shared" si="50"/>
        <v/>
      </c>
      <c r="W119" s="101" t="str">
        <f t="shared" si="57"/>
        <v/>
      </c>
      <c r="Y119" s="100" t="str">
        <f t="shared" si="51"/>
        <v/>
      </c>
      <c r="Z119" s="119" t="str">
        <f>IF('Temperature in bundle'!$P$4="Current = 1A per pair",2,IF($A119="","",('Temperature in bundle'!$Q$6-('Temperature in bundle'!$Q$6^2-4*(Y119+AA$7)*'Temperature in bundle'!$Q$7)^0.5)/2/(Y119+AA$7)))</f>
        <v/>
      </c>
      <c r="AA119" s="98" t="str">
        <f t="shared" si="52"/>
        <v/>
      </c>
      <c r="AB119" s="101" t="str">
        <f t="shared" si="58"/>
        <v/>
      </c>
    </row>
    <row r="120" spans="1:28">
      <c r="A120" t="str">
        <f t="shared" si="59"/>
        <v/>
      </c>
      <c r="B120" s="113">
        <v>3</v>
      </c>
      <c r="C120" s="113">
        <f>SQRT(3)/2*4</f>
        <v>3.4641016151377544</v>
      </c>
      <c r="D120" s="113">
        <f t="shared" si="61"/>
        <v>4.5825756949558398</v>
      </c>
      <c r="E120" s="113" t="str">
        <f t="shared" si="53"/>
        <v/>
      </c>
      <c r="F120" s="113" t="str">
        <f t="shared" si="53"/>
        <v/>
      </c>
      <c r="G120" s="113" t="str">
        <f t="shared" si="60"/>
        <v/>
      </c>
      <c r="J120" s="116" t="str">
        <f t="shared" si="54"/>
        <v/>
      </c>
      <c r="K120" s="119" t="str">
        <f t="shared" si="45"/>
        <v/>
      </c>
      <c r="L120" s="98" t="str">
        <f t="shared" si="46"/>
        <v/>
      </c>
      <c r="M120" s="101" t="str">
        <f t="shared" si="55"/>
        <v/>
      </c>
      <c r="O120" s="100" t="str">
        <f t="shared" si="47"/>
        <v/>
      </c>
      <c r="P120" s="119" t="str">
        <f>IF('Temperature in bundle'!$P$4="Current = 1A per pair",2,IF($A120="","",('Temperature in bundle'!$Q$6-('Temperature in bundle'!$Q$6^2-4*(O120+Q$7)*'Temperature in bundle'!$Q$7)^0.5)/2/(O120+Q$7)))</f>
        <v/>
      </c>
      <c r="Q120" s="98" t="str">
        <f t="shared" si="48"/>
        <v/>
      </c>
      <c r="R120" s="101" t="str">
        <f t="shared" si="56"/>
        <v/>
      </c>
      <c r="T120" s="100" t="str">
        <f t="shared" si="49"/>
        <v/>
      </c>
      <c r="U120" s="119" t="str">
        <f>IF('Temperature in bundle'!$P$4="Current = 1A per pair",2,IF($A120="","",('Temperature in bundle'!$Q$6-('Temperature in bundle'!$Q$6^2-4*(T120+V$7)*'Temperature in bundle'!$Q$7)^0.5)/2/(T120+V$7)))</f>
        <v/>
      </c>
      <c r="V120" s="98" t="str">
        <f t="shared" si="50"/>
        <v/>
      </c>
      <c r="W120" s="101" t="str">
        <f t="shared" si="57"/>
        <v/>
      </c>
      <c r="Y120" s="100" t="str">
        <f t="shared" si="51"/>
        <v/>
      </c>
      <c r="Z120" s="119" t="str">
        <f>IF('Temperature in bundle'!$P$4="Current = 1A per pair",2,IF($A120="","",('Temperature in bundle'!$Q$6-('Temperature in bundle'!$Q$6^2-4*(Y120+AA$7)*'Temperature in bundle'!$Q$7)^0.5)/2/(Y120+AA$7)))</f>
        <v/>
      </c>
      <c r="AA120" s="98" t="str">
        <f t="shared" si="52"/>
        <v/>
      </c>
      <c r="AB120" s="101" t="str">
        <f t="shared" si="58"/>
        <v/>
      </c>
    </row>
    <row r="121" spans="1:28">
      <c r="A121" t="str">
        <f t="shared" si="59"/>
        <v/>
      </c>
      <c r="B121" s="113">
        <v>2.5</v>
      </c>
      <c r="C121" s="113">
        <f>SQRT(3)/2*5</f>
        <v>4.3301270189221928</v>
      </c>
      <c r="D121" s="113">
        <f t="shared" si="61"/>
        <v>5</v>
      </c>
      <c r="E121" s="113" t="str">
        <f t="shared" si="53"/>
        <v/>
      </c>
      <c r="F121" s="113" t="str">
        <f t="shared" si="53"/>
        <v/>
      </c>
      <c r="G121" s="113" t="str">
        <f t="shared" si="60"/>
        <v/>
      </c>
      <c r="J121" s="116" t="str">
        <f t="shared" si="54"/>
        <v/>
      </c>
      <c r="K121" s="119" t="str">
        <f t="shared" si="45"/>
        <v/>
      </c>
      <c r="L121" s="98" t="str">
        <f t="shared" si="46"/>
        <v/>
      </c>
      <c r="M121" s="101" t="str">
        <f t="shared" si="55"/>
        <v/>
      </c>
      <c r="O121" s="100" t="str">
        <f t="shared" si="47"/>
        <v/>
      </c>
      <c r="P121" s="119" t="str">
        <f>IF('Temperature in bundle'!$P$4="Current = 1A per pair",2,IF($A121="","",('Temperature in bundle'!$Q$6-('Temperature in bundle'!$Q$6^2-4*(O121+Q$7)*'Temperature in bundle'!$Q$7)^0.5)/2/(O121+Q$7)))</f>
        <v/>
      </c>
      <c r="Q121" s="98" t="str">
        <f t="shared" si="48"/>
        <v/>
      </c>
      <c r="R121" s="101" t="str">
        <f t="shared" si="56"/>
        <v/>
      </c>
      <c r="T121" s="100" t="str">
        <f t="shared" si="49"/>
        <v/>
      </c>
      <c r="U121" s="119" t="str">
        <f>IF('Temperature in bundle'!$P$4="Current = 1A per pair",2,IF($A121="","",('Temperature in bundle'!$Q$6-('Temperature in bundle'!$Q$6^2-4*(T121+V$7)*'Temperature in bundle'!$Q$7)^0.5)/2/(T121+V$7)))</f>
        <v/>
      </c>
      <c r="V121" s="98" t="str">
        <f t="shared" si="50"/>
        <v/>
      </c>
      <c r="W121" s="101" t="str">
        <f t="shared" si="57"/>
        <v/>
      </c>
      <c r="Y121" s="100" t="str">
        <f t="shared" si="51"/>
        <v/>
      </c>
      <c r="Z121" s="119" t="str">
        <f>IF('Temperature in bundle'!$P$4="Current = 1A per pair",2,IF($A121="","",('Temperature in bundle'!$Q$6-('Temperature in bundle'!$Q$6^2-4*(Y121+AA$7)*'Temperature in bundle'!$Q$7)^0.5)/2/(Y121+AA$7)))</f>
        <v/>
      </c>
      <c r="AA121" s="98" t="str">
        <f t="shared" si="52"/>
        <v/>
      </c>
      <c r="AB121" s="101" t="str">
        <f t="shared" si="58"/>
        <v/>
      </c>
    </row>
    <row r="122" spans="1:28">
      <c r="A122" t="str">
        <f t="shared" si="59"/>
        <v/>
      </c>
      <c r="B122" s="113">
        <v>1.5</v>
      </c>
      <c r="C122" s="113">
        <f t="shared" ref="C122:C126" si="62">SQRT(3)/2*5</f>
        <v>4.3301270189221928</v>
      </c>
      <c r="D122" s="113">
        <f t="shared" si="61"/>
        <v>4.5825756949558398</v>
      </c>
      <c r="E122" s="113" t="str">
        <f t="shared" si="53"/>
        <v/>
      </c>
      <c r="F122" s="113" t="str">
        <f t="shared" si="53"/>
        <v/>
      </c>
      <c r="G122" s="113" t="str">
        <f t="shared" si="60"/>
        <v/>
      </c>
      <c r="J122" s="116" t="str">
        <f t="shared" si="54"/>
        <v/>
      </c>
      <c r="K122" s="119" t="str">
        <f t="shared" si="45"/>
        <v/>
      </c>
      <c r="L122" s="98" t="str">
        <f t="shared" si="46"/>
        <v/>
      </c>
      <c r="M122" s="101" t="str">
        <f t="shared" si="55"/>
        <v/>
      </c>
      <c r="O122" s="100" t="str">
        <f t="shared" si="47"/>
        <v/>
      </c>
      <c r="P122" s="119" t="str">
        <f>IF('Temperature in bundle'!$P$4="Current = 1A per pair",2,IF($A122="","",('Temperature in bundle'!$Q$6-('Temperature in bundle'!$Q$6^2-4*(O122+Q$7)*'Temperature in bundle'!$Q$7)^0.5)/2/(O122+Q$7)))</f>
        <v/>
      </c>
      <c r="Q122" s="98" t="str">
        <f t="shared" si="48"/>
        <v/>
      </c>
      <c r="R122" s="101" t="str">
        <f t="shared" si="56"/>
        <v/>
      </c>
      <c r="T122" s="100" t="str">
        <f t="shared" si="49"/>
        <v/>
      </c>
      <c r="U122" s="119" t="str">
        <f>IF('Temperature in bundle'!$P$4="Current = 1A per pair",2,IF($A122="","",('Temperature in bundle'!$Q$6-('Temperature in bundle'!$Q$6^2-4*(T122+V$7)*'Temperature in bundle'!$Q$7)^0.5)/2/(T122+V$7)))</f>
        <v/>
      </c>
      <c r="V122" s="98" t="str">
        <f t="shared" si="50"/>
        <v/>
      </c>
      <c r="W122" s="101" t="str">
        <f t="shared" si="57"/>
        <v/>
      </c>
      <c r="Y122" s="100" t="str">
        <f t="shared" si="51"/>
        <v/>
      </c>
      <c r="Z122" s="119" t="str">
        <f>IF('Temperature in bundle'!$P$4="Current = 1A per pair",2,IF($A122="","",('Temperature in bundle'!$Q$6-('Temperature in bundle'!$Q$6^2-4*(Y122+AA$7)*'Temperature in bundle'!$Q$7)^0.5)/2/(Y122+AA$7)))</f>
        <v/>
      </c>
      <c r="AA122" s="98" t="str">
        <f t="shared" si="52"/>
        <v/>
      </c>
      <c r="AB122" s="101" t="str">
        <f t="shared" si="58"/>
        <v/>
      </c>
    </row>
    <row r="123" spans="1:28">
      <c r="A123" t="str">
        <f t="shared" si="59"/>
        <v/>
      </c>
      <c r="B123" s="113">
        <v>0.5</v>
      </c>
      <c r="C123" s="113">
        <f t="shared" si="62"/>
        <v>4.3301270189221928</v>
      </c>
      <c r="D123" s="113">
        <f t="shared" si="61"/>
        <v>4.3588989435406731</v>
      </c>
      <c r="E123" s="113" t="str">
        <f t="shared" si="53"/>
        <v/>
      </c>
      <c r="F123" s="113" t="str">
        <f t="shared" si="53"/>
        <v/>
      </c>
      <c r="G123" s="113" t="str">
        <f t="shared" si="60"/>
        <v/>
      </c>
      <c r="J123" s="116" t="str">
        <f t="shared" si="54"/>
        <v/>
      </c>
      <c r="K123" s="119" t="str">
        <f t="shared" si="45"/>
        <v/>
      </c>
      <c r="L123" s="98" t="str">
        <f t="shared" si="46"/>
        <v/>
      </c>
      <c r="M123" s="101" t="str">
        <f t="shared" si="55"/>
        <v/>
      </c>
      <c r="O123" s="100" t="str">
        <f t="shared" si="47"/>
        <v/>
      </c>
      <c r="P123" s="119" t="str">
        <f>IF('Temperature in bundle'!$P$4="Current = 1A per pair",2,IF($A123="","",('Temperature in bundle'!$Q$6-('Temperature in bundle'!$Q$6^2-4*(O123+Q$7)*'Temperature in bundle'!$Q$7)^0.5)/2/(O123+Q$7)))</f>
        <v/>
      </c>
      <c r="Q123" s="98" t="str">
        <f t="shared" si="48"/>
        <v/>
      </c>
      <c r="R123" s="101" t="str">
        <f t="shared" si="56"/>
        <v/>
      </c>
      <c r="T123" s="100" t="str">
        <f t="shared" si="49"/>
        <v/>
      </c>
      <c r="U123" s="119" t="str">
        <f>IF('Temperature in bundle'!$P$4="Current = 1A per pair",2,IF($A123="","",('Temperature in bundle'!$Q$6-('Temperature in bundle'!$Q$6^2-4*(T123+V$7)*'Temperature in bundle'!$Q$7)^0.5)/2/(T123+V$7)))</f>
        <v/>
      </c>
      <c r="V123" s="98" t="str">
        <f t="shared" si="50"/>
        <v/>
      </c>
      <c r="W123" s="101" t="str">
        <f t="shared" si="57"/>
        <v/>
      </c>
      <c r="Y123" s="100" t="str">
        <f t="shared" si="51"/>
        <v/>
      </c>
      <c r="Z123" s="119" t="str">
        <f>IF('Temperature in bundle'!$P$4="Current = 1A per pair",2,IF($A123="","",('Temperature in bundle'!$Q$6-('Temperature in bundle'!$Q$6^2-4*(Y123+AA$7)*'Temperature in bundle'!$Q$7)^0.5)/2/(Y123+AA$7)))</f>
        <v/>
      </c>
      <c r="AA123" s="98" t="str">
        <f t="shared" si="52"/>
        <v/>
      </c>
      <c r="AB123" s="101" t="str">
        <f t="shared" si="58"/>
        <v/>
      </c>
    </row>
    <row r="124" spans="1:28">
      <c r="A124" t="str">
        <f t="shared" si="59"/>
        <v/>
      </c>
      <c r="B124" s="113">
        <v>-0.5</v>
      </c>
      <c r="C124" s="113">
        <f t="shared" si="62"/>
        <v>4.3301270189221928</v>
      </c>
      <c r="D124" s="113">
        <f t="shared" si="61"/>
        <v>4.3588989435406731</v>
      </c>
      <c r="E124" s="113" t="str">
        <f t="shared" si="53"/>
        <v/>
      </c>
      <c r="F124" s="113" t="str">
        <f t="shared" si="53"/>
        <v/>
      </c>
      <c r="G124" s="113" t="str">
        <f t="shared" si="60"/>
        <v/>
      </c>
      <c r="J124" s="116" t="str">
        <f t="shared" si="54"/>
        <v/>
      </c>
      <c r="K124" s="119" t="str">
        <f t="shared" si="45"/>
        <v/>
      </c>
      <c r="L124" s="98" t="str">
        <f t="shared" si="46"/>
        <v/>
      </c>
      <c r="M124" s="101" t="str">
        <f t="shared" si="55"/>
        <v/>
      </c>
      <c r="O124" s="100" t="str">
        <f t="shared" si="47"/>
        <v/>
      </c>
      <c r="P124" s="119" t="str">
        <f>IF('Temperature in bundle'!$P$4="Current = 1A per pair",2,IF($A124="","",('Temperature in bundle'!$Q$6-('Temperature in bundle'!$Q$6^2-4*(O124+Q$7)*'Temperature in bundle'!$Q$7)^0.5)/2/(O124+Q$7)))</f>
        <v/>
      </c>
      <c r="Q124" s="98" t="str">
        <f t="shared" si="48"/>
        <v/>
      </c>
      <c r="R124" s="101" t="str">
        <f t="shared" si="56"/>
        <v/>
      </c>
      <c r="T124" s="100" t="str">
        <f t="shared" si="49"/>
        <v/>
      </c>
      <c r="U124" s="119" t="str">
        <f>IF('Temperature in bundle'!$P$4="Current = 1A per pair",2,IF($A124="","",('Temperature in bundle'!$Q$6-('Temperature in bundle'!$Q$6^2-4*(T124+V$7)*'Temperature in bundle'!$Q$7)^0.5)/2/(T124+V$7)))</f>
        <v/>
      </c>
      <c r="V124" s="98" t="str">
        <f t="shared" si="50"/>
        <v/>
      </c>
      <c r="W124" s="101" t="str">
        <f t="shared" si="57"/>
        <v/>
      </c>
      <c r="Y124" s="100" t="str">
        <f t="shared" si="51"/>
        <v/>
      </c>
      <c r="Z124" s="119" t="str">
        <f>IF('Temperature in bundle'!$P$4="Current = 1A per pair",2,IF($A124="","",('Temperature in bundle'!$Q$6-('Temperature in bundle'!$Q$6^2-4*(Y124+AA$7)*'Temperature in bundle'!$Q$7)^0.5)/2/(Y124+AA$7)))</f>
        <v/>
      </c>
      <c r="AA124" s="98" t="str">
        <f t="shared" si="52"/>
        <v/>
      </c>
      <c r="AB124" s="101" t="str">
        <f t="shared" si="58"/>
        <v/>
      </c>
    </row>
    <row r="125" spans="1:28">
      <c r="A125" t="str">
        <f t="shared" si="59"/>
        <v/>
      </c>
      <c r="B125" s="113">
        <v>-1.5</v>
      </c>
      <c r="C125" s="113">
        <f t="shared" si="62"/>
        <v>4.3301270189221928</v>
      </c>
      <c r="D125" s="113">
        <f t="shared" si="61"/>
        <v>4.5825756949558398</v>
      </c>
      <c r="E125" s="113" t="str">
        <f t="shared" si="53"/>
        <v/>
      </c>
      <c r="F125" s="113" t="str">
        <f t="shared" si="53"/>
        <v/>
      </c>
      <c r="G125" s="113" t="str">
        <f t="shared" si="60"/>
        <v/>
      </c>
      <c r="J125" s="116" t="str">
        <f t="shared" si="54"/>
        <v/>
      </c>
      <c r="K125" s="119" t="str">
        <f t="shared" si="45"/>
        <v/>
      </c>
      <c r="L125" s="98" t="str">
        <f t="shared" si="46"/>
        <v/>
      </c>
      <c r="M125" s="101" t="str">
        <f t="shared" si="55"/>
        <v/>
      </c>
      <c r="O125" s="100" t="str">
        <f t="shared" si="47"/>
        <v/>
      </c>
      <c r="P125" s="119" t="str">
        <f>IF('Temperature in bundle'!$P$4="Current = 1A per pair",2,IF($A125="","",('Temperature in bundle'!$Q$6-('Temperature in bundle'!$Q$6^2-4*(O125+Q$7)*'Temperature in bundle'!$Q$7)^0.5)/2/(O125+Q$7)))</f>
        <v/>
      </c>
      <c r="Q125" s="98" t="str">
        <f t="shared" si="48"/>
        <v/>
      </c>
      <c r="R125" s="101" t="str">
        <f t="shared" si="56"/>
        <v/>
      </c>
      <c r="T125" s="100" t="str">
        <f t="shared" si="49"/>
        <v/>
      </c>
      <c r="U125" s="119" t="str">
        <f>IF('Temperature in bundle'!$P$4="Current = 1A per pair",2,IF($A125="","",('Temperature in bundle'!$Q$6-('Temperature in bundle'!$Q$6^2-4*(T125+V$7)*'Temperature in bundle'!$Q$7)^0.5)/2/(T125+V$7)))</f>
        <v/>
      </c>
      <c r="V125" s="98" t="str">
        <f t="shared" si="50"/>
        <v/>
      </c>
      <c r="W125" s="101" t="str">
        <f t="shared" si="57"/>
        <v/>
      </c>
      <c r="Y125" s="100" t="str">
        <f t="shared" si="51"/>
        <v/>
      </c>
      <c r="Z125" s="119" t="str">
        <f>IF('Temperature in bundle'!$P$4="Current = 1A per pair",2,IF($A125="","",('Temperature in bundle'!$Q$6-('Temperature in bundle'!$Q$6^2-4*(Y125+AA$7)*'Temperature in bundle'!$Q$7)^0.5)/2/(Y125+AA$7)))</f>
        <v/>
      </c>
      <c r="AA125" s="98" t="str">
        <f t="shared" si="52"/>
        <v/>
      </c>
      <c r="AB125" s="101" t="str">
        <f t="shared" si="58"/>
        <v/>
      </c>
    </row>
    <row r="126" spans="1:28">
      <c r="A126" t="str">
        <f t="shared" si="59"/>
        <v/>
      </c>
      <c r="B126" s="113">
        <v>-2.5</v>
      </c>
      <c r="C126" s="113">
        <f t="shared" si="62"/>
        <v>4.3301270189221928</v>
      </c>
      <c r="D126" s="113">
        <f t="shared" si="61"/>
        <v>5</v>
      </c>
      <c r="E126" s="113" t="str">
        <f t="shared" si="53"/>
        <v/>
      </c>
      <c r="F126" s="113" t="str">
        <f t="shared" si="53"/>
        <v/>
      </c>
      <c r="G126" s="113" t="str">
        <f t="shared" si="60"/>
        <v/>
      </c>
      <c r="J126" s="116" t="str">
        <f t="shared" si="54"/>
        <v/>
      </c>
      <c r="K126" s="119" t="str">
        <f t="shared" si="45"/>
        <v/>
      </c>
      <c r="L126" s="98" t="str">
        <f t="shared" si="46"/>
        <v/>
      </c>
      <c r="M126" s="101" t="str">
        <f t="shared" si="55"/>
        <v/>
      </c>
      <c r="O126" s="100" t="str">
        <f t="shared" si="47"/>
        <v/>
      </c>
      <c r="P126" s="119" t="str">
        <f>IF('Temperature in bundle'!$P$4="Current = 1A per pair",2,IF($A126="","",('Temperature in bundle'!$Q$6-('Temperature in bundle'!$Q$6^2-4*(O126+Q$7)*'Temperature in bundle'!$Q$7)^0.5)/2/(O126+Q$7)))</f>
        <v/>
      </c>
      <c r="Q126" s="98" t="str">
        <f t="shared" si="48"/>
        <v/>
      </c>
      <c r="R126" s="101" t="str">
        <f t="shared" si="56"/>
        <v/>
      </c>
      <c r="T126" s="100" t="str">
        <f t="shared" si="49"/>
        <v/>
      </c>
      <c r="U126" s="119" t="str">
        <f>IF('Temperature in bundle'!$P$4="Current = 1A per pair",2,IF($A126="","",('Temperature in bundle'!$Q$6-('Temperature in bundle'!$Q$6^2-4*(T126+V$7)*'Temperature in bundle'!$Q$7)^0.5)/2/(T126+V$7)))</f>
        <v/>
      </c>
      <c r="V126" s="98" t="str">
        <f t="shared" si="50"/>
        <v/>
      </c>
      <c r="W126" s="101" t="str">
        <f t="shared" si="57"/>
        <v/>
      </c>
      <c r="Y126" s="100" t="str">
        <f t="shared" si="51"/>
        <v/>
      </c>
      <c r="Z126" s="119" t="str">
        <f>IF('Temperature in bundle'!$P$4="Current = 1A per pair",2,IF($A126="","",('Temperature in bundle'!$Q$6-('Temperature in bundle'!$Q$6^2-4*(Y126+AA$7)*'Temperature in bundle'!$Q$7)^0.5)/2/(Y126+AA$7)))</f>
        <v/>
      </c>
      <c r="AA126" s="98" t="str">
        <f t="shared" si="52"/>
        <v/>
      </c>
      <c r="AB126" s="101" t="str">
        <f t="shared" si="58"/>
        <v/>
      </c>
    </row>
    <row r="127" spans="1:28">
      <c r="A127" t="str">
        <f t="shared" si="59"/>
        <v/>
      </c>
      <c r="B127" s="113">
        <v>-3</v>
      </c>
      <c r="C127" s="113">
        <f>SQRT(3)/2*4</f>
        <v>3.4641016151377544</v>
      </c>
      <c r="D127" s="113">
        <f t="shared" si="61"/>
        <v>4.5825756949558398</v>
      </c>
      <c r="E127" s="113" t="str">
        <f t="shared" si="53"/>
        <v/>
      </c>
      <c r="F127" s="113" t="str">
        <f t="shared" si="53"/>
        <v/>
      </c>
      <c r="G127" s="113" t="str">
        <f t="shared" si="60"/>
        <v/>
      </c>
      <c r="J127" s="116" t="str">
        <f t="shared" si="54"/>
        <v/>
      </c>
      <c r="K127" s="119" t="str">
        <f t="shared" si="45"/>
        <v/>
      </c>
      <c r="L127" s="98" t="str">
        <f t="shared" si="46"/>
        <v/>
      </c>
      <c r="M127" s="101" t="str">
        <f t="shared" si="55"/>
        <v/>
      </c>
      <c r="O127" s="100" t="str">
        <f t="shared" si="47"/>
        <v/>
      </c>
      <c r="P127" s="119" t="str">
        <f>IF('Temperature in bundle'!$P$4="Current = 1A per pair",2,IF($A127="","",('Temperature in bundle'!$Q$6-('Temperature in bundle'!$Q$6^2-4*(O127+Q$7)*'Temperature in bundle'!$Q$7)^0.5)/2/(O127+Q$7)))</f>
        <v/>
      </c>
      <c r="Q127" s="98" t="str">
        <f t="shared" si="48"/>
        <v/>
      </c>
      <c r="R127" s="101" t="str">
        <f t="shared" si="56"/>
        <v/>
      </c>
      <c r="T127" s="100" t="str">
        <f t="shared" si="49"/>
        <v/>
      </c>
      <c r="U127" s="119" t="str">
        <f>IF('Temperature in bundle'!$P$4="Current = 1A per pair",2,IF($A127="","",('Temperature in bundle'!$Q$6-('Temperature in bundle'!$Q$6^2-4*(T127+V$7)*'Temperature in bundle'!$Q$7)^0.5)/2/(T127+V$7)))</f>
        <v/>
      </c>
      <c r="V127" s="98" t="str">
        <f t="shared" si="50"/>
        <v/>
      </c>
      <c r="W127" s="101" t="str">
        <f t="shared" si="57"/>
        <v/>
      </c>
      <c r="Y127" s="100" t="str">
        <f t="shared" si="51"/>
        <v/>
      </c>
      <c r="Z127" s="119" t="str">
        <f>IF('Temperature in bundle'!$P$4="Current = 1A per pair",2,IF($A127="","",('Temperature in bundle'!$Q$6-('Temperature in bundle'!$Q$6^2-4*(Y127+AA$7)*'Temperature in bundle'!$Q$7)^0.5)/2/(Y127+AA$7)))</f>
        <v/>
      </c>
      <c r="AA127" s="98" t="str">
        <f t="shared" si="52"/>
        <v/>
      </c>
      <c r="AB127" s="101" t="str">
        <f t="shared" si="58"/>
        <v/>
      </c>
    </row>
    <row r="128" spans="1:28">
      <c r="A128" t="str">
        <f t="shared" si="59"/>
        <v/>
      </c>
      <c r="B128" s="113">
        <v>-3.5</v>
      </c>
      <c r="C128" s="113">
        <f>SQRT(3)/2*3</f>
        <v>2.598076211353316</v>
      </c>
      <c r="D128" s="113">
        <f t="shared" si="61"/>
        <v>4.358898943540674</v>
      </c>
      <c r="E128" s="113" t="str">
        <f t="shared" si="53"/>
        <v/>
      </c>
      <c r="F128" s="113" t="str">
        <f t="shared" si="53"/>
        <v/>
      </c>
      <c r="G128" s="113" t="str">
        <f t="shared" si="60"/>
        <v/>
      </c>
      <c r="J128" s="116" t="str">
        <f t="shared" si="54"/>
        <v/>
      </c>
      <c r="K128" s="119" t="str">
        <f t="shared" si="45"/>
        <v/>
      </c>
      <c r="L128" s="98" t="str">
        <f t="shared" si="46"/>
        <v/>
      </c>
      <c r="M128" s="101" t="str">
        <f t="shared" si="55"/>
        <v/>
      </c>
      <c r="O128" s="100" t="str">
        <f t="shared" si="47"/>
        <v/>
      </c>
      <c r="P128" s="119" t="str">
        <f>IF('Temperature in bundle'!$P$4="Current = 1A per pair",2,IF($A128="","",('Temperature in bundle'!$Q$6-('Temperature in bundle'!$Q$6^2-4*(O128+Q$7)*'Temperature in bundle'!$Q$7)^0.5)/2/(O128+Q$7)))</f>
        <v/>
      </c>
      <c r="Q128" s="98" t="str">
        <f t="shared" si="48"/>
        <v/>
      </c>
      <c r="R128" s="101" t="str">
        <f t="shared" si="56"/>
        <v/>
      </c>
      <c r="T128" s="100" t="str">
        <f t="shared" si="49"/>
        <v/>
      </c>
      <c r="U128" s="119" t="str">
        <f>IF('Temperature in bundle'!$P$4="Current = 1A per pair",2,IF($A128="","",('Temperature in bundle'!$Q$6-('Temperature in bundle'!$Q$6^2-4*(T128+V$7)*'Temperature in bundle'!$Q$7)^0.5)/2/(T128+V$7)))</f>
        <v/>
      </c>
      <c r="V128" s="98" t="str">
        <f t="shared" si="50"/>
        <v/>
      </c>
      <c r="W128" s="101" t="str">
        <f t="shared" si="57"/>
        <v/>
      </c>
      <c r="Y128" s="100" t="str">
        <f t="shared" si="51"/>
        <v/>
      </c>
      <c r="Z128" s="119" t="str">
        <f>IF('Temperature in bundle'!$P$4="Current = 1A per pair",2,IF($A128="","",('Temperature in bundle'!$Q$6-('Temperature in bundle'!$Q$6^2-4*(Y128+AA$7)*'Temperature in bundle'!$Q$7)^0.5)/2/(Y128+AA$7)))</f>
        <v/>
      </c>
      <c r="AA128" s="98" t="str">
        <f t="shared" si="52"/>
        <v/>
      </c>
      <c r="AB128" s="101" t="str">
        <f t="shared" si="58"/>
        <v/>
      </c>
    </row>
    <row r="129" spans="1:28">
      <c r="A129" t="str">
        <f t="shared" si="59"/>
        <v/>
      </c>
      <c r="B129" s="113">
        <v>-4</v>
      </c>
      <c r="C129" s="113">
        <f>SQRT(3)/2*2</f>
        <v>1.7320508075688772</v>
      </c>
      <c r="D129" s="113">
        <f t="shared" si="61"/>
        <v>4.358898943540674</v>
      </c>
      <c r="E129" s="113" t="str">
        <f t="shared" si="53"/>
        <v/>
      </c>
      <c r="F129" s="113" t="str">
        <f t="shared" si="53"/>
        <v/>
      </c>
      <c r="G129" s="113" t="str">
        <f t="shared" si="60"/>
        <v/>
      </c>
      <c r="J129" s="116" t="str">
        <f t="shared" si="54"/>
        <v/>
      </c>
      <c r="K129" s="119" t="str">
        <f t="shared" si="45"/>
        <v/>
      </c>
      <c r="L129" s="98" t="str">
        <f t="shared" si="46"/>
        <v/>
      </c>
      <c r="M129" s="101" t="str">
        <f t="shared" si="55"/>
        <v/>
      </c>
      <c r="O129" s="100" t="str">
        <f t="shared" si="47"/>
        <v/>
      </c>
      <c r="P129" s="119" t="str">
        <f>IF('Temperature in bundle'!$P$4="Current = 1A per pair",2,IF($A129="","",('Temperature in bundle'!$Q$6-('Temperature in bundle'!$Q$6^2-4*(O129+Q$7)*'Temperature in bundle'!$Q$7)^0.5)/2/(O129+Q$7)))</f>
        <v/>
      </c>
      <c r="Q129" s="98" t="str">
        <f t="shared" si="48"/>
        <v/>
      </c>
      <c r="R129" s="101" t="str">
        <f t="shared" si="56"/>
        <v/>
      </c>
      <c r="T129" s="100" t="str">
        <f t="shared" si="49"/>
        <v/>
      </c>
      <c r="U129" s="119" t="str">
        <f>IF('Temperature in bundle'!$P$4="Current = 1A per pair",2,IF($A129="","",('Temperature in bundle'!$Q$6-('Temperature in bundle'!$Q$6^2-4*(T129+V$7)*'Temperature in bundle'!$Q$7)^0.5)/2/(T129+V$7)))</f>
        <v/>
      </c>
      <c r="V129" s="98" t="str">
        <f t="shared" si="50"/>
        <v/>
      </c>
      <c r="W129" s="101" t="str">
        <f t="shared" si="57"/>
        <v/>
      </c>
      <c r="Y129" s="100" t="str">
        <f t="shared" si="51"/>
        <v/>
      </c>
      <c r="Z129" s="119" t="str">
        <f>IF('Temperature in bundle'!$P$4="Current = 1A per pair",2,IF($A129="","",('Temperature in bundle'!$Q$6-('Temperature in bundle'!$Q$6^2-4*(Y129+AA$7)*'Temperature in bundle'!$Q$7)^0.5)/2/(Y129+AA$7)))</f>
        <v/>
      </c>
      <c r="AA129" s="98" t="str">
        <f t="shared" si="52"/>
        <v/>
      </c>
      <c r="AB129" s="101" t="str">
        <f t="shared" si="58"/>
        <v/>
      </c>
    </row>
    <row r="130" spans="1:28">
      <c r="A130" t="str">
        <f t="shared" si="59"/>
        <v/>
      </c>
      <c r="B130" s="113">
        <v>-4.5</v>
      </c>
      <c r="C130" s="113">
        <f>SQRT(3)/2</f>
        <v>0.8660254037844386</v>
      </c>
      <c r="D130" s="113">
        <f t="shared" si="61"/>
        <v>4.5825756949558398</v>
      </c>
      <c r="E130" s="113" t="str">
        <f t="shared" si="53"/>
        <v/>
      </c>
      <c r="F130" s="113" t="str">
        <f t="shared" si="53"/>
        <v/>
      </c>
      <c r="G130" s="113" t="str">
        <f t="shared" si="60"/>
        <v/>
      </c>
      <c r="J130" s="116" t="str">
        <f t="shared" si="54"/>
        <v/>
      </c>
      <c r="K130" s="119" t="str">
        <f t="shared" si="45"/>
        <v/>
      </c>
      <c r="L130" s="98" t="str">
        <f t="shared" si="46"/>
        <v/>
      </c>
      <c r="M130" s="101" t="str">
        <f t="shared" si="55"/>
        <v/>
      </c>
      <c r="O130" s="100" t="str">
        <f t="shared" si="47"/>
        <v/>
      </c>
      <c r="P130" s="119" t="str">
        <f>IF('Temperature in bundle'!$P$4="Current = 1A per pair",2,IF($A130="","",('Temperature in bundle'!$Q$6-('Temperature in bundle'!$Q$6^2-4*(O130+Q$7)*'Temperature in bundle'!$Q$7)^0.5)/2/(O130+Q$7)))</f>
        <v/>
      </c>
      <c r="Q130" s="98" t="str">
        <f t="shared" si="48"/>
        <v/>
      </c>
      <c r="R130" s="101" t="str">
        <f t="shared" si="56"/>
        <v/>
      </c>
      <c r="T130" s="100" t="str">
        <f t="shared" si="49"/>
        <v/>
      </c>
      <c r="U130" s="119" t="str">
        <f>IF('Temperature in bundle'!$P$4="Current = 1A per pair",2,IF($A130="","",('Temperature in bundle'!$Q$6-('Temperature in bundle'!$Q$6^2-4*(T130+V$7)*'Temperature in bundle'!$Q$7)^0.5)/2/(T130+V$7)))</f>
        <v/>
      </c>
      <c r="V130" s="98" t="str">
        <f t="shared" si="50"/>
        <v/>
      </c>
      <c r="W130" s="101" t="str">
        <f t="shared" si="57"/>
        <v/>
      </c>
      <c r="Y130" s="100" t="str">
        <f t="shared" si="51"/>
        <v/>
      </c>
      <c r="Z130" s="119" t="str">
        <f>IF('Temperature in bundle'!$P$4="Current = 1A per pair",2,IF($A130="","",('Temperature in bundle'!$Q$6-('Temperature in bundle'!$Q$6^2-4*(Y130+AA$7)*'Temperature in bundle'!$Q$7)^0.5)/2/(Y130+AA$7)))</f>
        <v/>
      </c>
      <c r="AA130" s="98" t="str">
        <f t="shared" si="52"/>
        <v/>
      </c>
      <c r="AB130" s="101" t="str">
        <f t="shared" si="58"/>
        <v/>
      </c>
    </row>
    <row r="131" spans="1:28">
      <c r="A131" t="str">
        <f t="shared" si="59"/>
        <v/>
      </c>
      <c r="B131" s="113">
        <v>-5</v>
      </c>
      <c r="C131" s="113">
        <v>0</v>
      </c>
      <c r="D131" s="113">
        <f t="shared" si="61"/>
        <v>5</v>
      </c>
      <c r="E131" s="113" t="str">
        <f t="shared" si="53"/>
        <v/>
      </c>
      <c r="F131" s="113" t="str">
        <f t="shared" si="53"/>
        <v/>
      </c>
      <c r="G131" s="113" t="str">
        <f t="shared" si="60"/>
        <v/>
      </c>
      <c r="J131" s="116" t="str">
        <f t="shared" si="54"/>
        <v/>
      </c>
      <c r="K131" s="119" t="str">
        <f t="shared" si="45"/>
        <v/>
      </c>
      <c r="L131" s="98" t="str">
        <f t="shared" si="46"/>
        <v/>
      </c>
      <c r="M131" s="101" t="str">
        <f t="shared" si="55"/>
        <v/>
      </c>
      <c r="O131" s="100" t="str">
        <f t="shared" si="47"/>
        <v/>
      </c>
      <c r="P131" s="119" t="str">
        <f>IF('Temperature in bundle'!$P$4="Current = 1A per pair",2,IF($A131="","",('Temperature in bundle'!$Q$6-('Temperature in bundle'!$Q$6^2-4*(O131+Q$7)*'Temperature in bundle'!$Q$7)^0.5)/2/(O131+Q$7)))</f>
        <v/>
      </c>
      <c r="Q131" s="98" t="str">
        <f t="shared" si="48"/>
        <v/>
      </c>
      <c r="R131" s="101" t="str">
        <f t="shared" si="56"/>
        <v/>
      </c>
      <c r="T131" s="100" t="str">
        <f t="shared" si="49"/>
        <v/>
      </c>
      <c r="U131" s="119" t="str">
        <f>IF('Temperature in bundle'!$P$4="Current = 1A per pair",2,IF($A131="","",('Temperature in bundle'!$Q$6-('Temperature in bundle'!$Q$6^2-4*(T131+V$7)*'Temperature in bundle'!$Q$7)^0.5)/2/(T131+V$7)))</f>
        <v/>
      </c>
      <c r="V131" s="98" t="str">
        <f t="shared" si="50"/>
        <v/>
      </c>
      <c r="W131" s="101" t="str">
        <f t="shared" si="57"/>
        <v/>
      </c>
      <c r="Y131" s="100" t="str">
        <f t="shared" si="51"/>
        <v/>
      </c>
      <c r="Z131" s="119" t="str">
        <f>IF('Temperature in bundle'!$P$4="Current = 1A per pair",2,IF($A131="","",('Temperature in bundle'!$Q$6-('Temperature in bundle'!$Q$6^2-4*(Y131+AA$7)*'Temperature in bundle'!$Q$7)^0.5)/2/(Y131+AA$7)))</f>
        <v/>
      </c>
      <c r="AA131" s="98" t="str">
        <f t="shared" si="52"/>
        <v/>
      </c>
      <c r="AB131" s="101" t="str">
        <f t="shared" si="58"/>
        <v/>
      </c>
    </row>
    <row r="132" spans="1:28">
      <c r="A132" t="str">
        <f t="shared" si="59"/>
        <v/>
      </c>
      <c r="B132" s="113">
        <v>-4.5</v>
      </c>
      <c r="C132" s="113">
        <f t="shared" ref="C132" si="63">(SQRT(3)/2)*-1</f>
        <v>-0.8660254037844386</v>
      </c>
      <c r="D132" s="113">
        <f t="shared" si="61"/>
        <v>4.5825756949558398</v>
      </c>
      <c r="E132" s="113" t="str">
        <f t="shared" si="53"/>
        <v/>
      </c>
      <c r="F132" s="113" t="str">
        <f t="shared" si="53"/>
        <v/>
      </c>
      <c r="G132" s="113" t="str">
        <f t="shared" si="60"/>
        <v/>
      </c>
      <c r="J132" s="116" t="str">
        <f t="shared" si="54"/>
        <v/>
      </c>
      <c r="K132" s="119" t="str">
        <f t="shared" si="45"/>
        <v/>
      </c>
      <c r="L132" s="98" t="str">
        <f t="shared" si="46"/>
        <v/>
      </c>
      <c r="M132" s="101" t="str">
        <f t="shared" si="55"/>
        <v/>
      </c>
      <c r="O132" s="100" t="str">
        <f t="shared" si="47"/>
        <v/>
      </c>
      <c r="P132" s="119" t="str">
        <f>IF('Temperature in bundle'!$P$4="Current = 1A per pair",2,IF($A132="","",('Temperature in bundle'!$Q$6-('Temperature in bundle'!$Q$6^2-4*(O132+Q$7)*'Temperature in bundle'!$Q$7)^0.5)/2/(O132+Q$7)))</f>
        <v/>
      </c>
      <c r="Q132" s="98" t="str">
        <f t="shared" si="48"/>
        <v/>
      </c>
      <c r="R132" s="101" t="str">
        <f t="shared" si="56"/>
        <v/>
      </c>
      <c r="T132" s="100" t="str">
        <f t="shared" si="49"/>
        <v/>
      </c>
      <c r="U132" s="119" t="str">
        <f>IF('Temperature in bundle'!$P$4="Current = 1A per pair",2,IF($A132="","",('Temperature in bundle'!$Q$6-('Temperature in bundle'!$Q$6^2-4*(T132+V$7)*'Temperature in bundle'!$Q$7)^0.5)/2/(T132+V$7)))</f>
        <v/>
      </c>
      <c r="V132" s="98" t="str">
        <f t="shared" si="50"/>
        <v/>
      </c>
      <c r="W132" s="101" t="str">
        <f t="shared" si="57"/>
        <v/>
      </c>
      <c r="Y132" s="100" t="str">
        <f t="shared" si="51"/>
        <v/>
      </c>
      <c r="Z132" s="119" t="str">
        <f>IF('Temperature in bundle'!$P$4="Current = 1A per pair",2,IF($A132="","",('Temperature in bundle'!$Q$6-('Temperature in bundle'!$Q$6^2-4*(Y132+AA$7)*'Temperature in bundle'!$Q$7)^0.5)/2/(Y132+AA$7)))</f>
        <v/>
      </c>
      <c r="AA132" s="98" t="str">
        <f t="shared" si="52"/>
        <v/>
      </c>
      <c r="AB132" s="101" t="str">
        <f t="shared" si="58"/>
        <v/>
      </c>
    </row>
    <row r="133" spans="1:28">
      <c r="A133" t="str">
        <f t="shared" si="59"/>
        <v/>
      </c>
      <c r="B133" s="113">
        <v>-4</v>
      </c>
      <c r="C133" s="113">
        <f>(SQRT(3)/2)*-2</f>
        <v>-1.7320508075688772</v>
      </c>
      <c r="D133" s="113">
        <f t="shared" si="61"/>
        <v>4.358898943540674</v>
      </c>
      <c r="E133" s="113" t="str">
        <f t="shared" si="53"/>
        <v/>
      </c>
      <c r="F133" s="113" t="str">
        <f t="shared" si="53"/>
        <v/>
      </c>
      <c r="G133" s="113" t="str">
        <f t="shared" si="60"/>
        <v/>
      </c>
      <c r="J133" s="116" t="str">
        <f t="shared" si="54"/>
        <v/>
      </c>
      <c r="K133" s="119" t="str">
        <f t="shared" si="45"/>
        <v/>
      </c>
      <c r="L133" s="98" t="str">
        <f t="shared" si="46"/>
        <v/>
      </c>
      <c r="M133" s="101" t="str">
        <f t="shared" si="55"/>
        <v/>
      </c>
      <c r="O133" s="100" t="str">
        <f t="shared" si="47"/>
        <v/>
      </c>
      <c r="P133" s="119" t="str">
        <f>IF('Temperature in bundle'!$P$4="Current = 1A per pair",2,IF($A133="","",('Temperature in bundle'!$Q$6-('Temperature in bundle'!$Q$6^2-4*(O133+Q$7)*'Temperature in bundle'!$Q$7)^0.5)/2/(O133+Q$7)))</f>
        <v/>
      </c>
      <c r="Q133" s="98" t="str">
        <f t="shared" si="48"/>
        <v/>
      </c>
      <c r="R133" s="101" t="str">
        <f t="shared" si="56"/>
        <v/>
      </c>
      <c r="T133" s="100" t="str">
        <f t="shared" si="49"/>
        <v/>
      </c>
      <c r="U133" s="119" t="str">
        <f>IF('Temperature in bundle'!$P$4="Current = 1A per pair",2,IF($A133="","",('Temperature in bundle'!$Q$6-('Temperature in bundle'!$Q$6^2-4*(T133+V$7)*'Temperature in bundle'!$Q$7)^0.5)/2/(T133+V$7)))</f>
        <v/>
      </c>
      <c r="V133" s="98" t="str">
        <f t="shared" si="50"/>
        <v/>
      </c>
      <c r="W133" s="101" t="str">
        <f t="shared" si="57"/>
        <v/>
      </c>
      <c r="Y133" s="100" t="str">
        <f t="shared" si="51"/>
        <v/>
      </c>
      <c r="Z133" s="119" t="str">
        <f>IF('Temperature in bundle'!$P$4="Current = 1A per pair",2,IF($A133="","",('Temperature in bundle'!$Q$6-('Temperature in bundle'!$Q$6^2-4*(Y133+AA$7)*'Temperature in bundle'!$Q$7)^0.5)/2/(Y133+AA$7)))</f>
        <v/>
      </c>
      <c r="AA133" s="98" t="str">
        <f t="shared" si="52"/>
        <v/>
      </c>
      <c r="AB133" s="101" t="str">
        <f t="shared" si="58"/>
        <v/>
      </c>
    </row>
    <row r="134" spans="1:28">
      <c r="A134" t="str">
        <f t="shared" si="59"/>
        <v/>
      </c>
      <c r="B134" s="113">
        <v>-3.5</v>
      </c>
      <c r="C134" s="113">
        <f>(SQRT(3)/2)*-3</f>
        <v>-2.598076211353316</v>
      </c>
      <c r="D134" s="113">
        <f t="shared" si="61"/>
        <v>4.358898943540674</v>
      </c>
      <c r="E134" s="113" t="str">
        <f t="shared" si="53"/>
        <v/>
      </c>
      <c r="F134" s="113" t="str">
        <f t="shared" si="53"/>
        <v/>
      </c>
      <c r="G134" s="113" t="str">
        <f t="shared" si="60"/>
        <v/>
      </c>
      <c r="J134" s="116" t="str">
        <f t="shared" si="54"/>
        <v/>
      </c>
      <c r="K134" s="119" t="str">
        <f t="shared" si="45"/>
        <v/>
      </c>
      <c r="L134" s="98" t="str">
        <f t="shared" si="46"/>
        <v/>
      </c>
      <c r="M134" s="101" t="str">
        <f t="shared" si="55"/>
        <v/>
      </c>
      <c r="O134" s="100" t="str">
        <f t="shared" si="47"/>
        <v/>
      </c>
      <c r="P134" s="119" t="str">
        <f>IF('Temperature in bundle'!$P$4="Current = 1A per pair",2,IF($A134="","",('Temperature in bundle'!$Q$6-('Temperature in bundle'!$Q$6^2-4*(O134+Q$7)*'Temperature in bundle'!$Q$7)^0.5)/2/(O134+Q$7)))</f>
        <v/>
      </c>
      <c r="Q134" s="98" t="str">
        <f t="shared" si="48"/>
        <v/>
      </c>
      <c r="R134" s="101" t="str">
        <f t="shared" si="56"/>
        <v/>
      </c>
      <c r="T134" s="100" t="str">
        <f t="shared" si="49"/>
        <v/>
      </c>
      <c r="U134" s="119" t="str">
        <f>IF('Temperature in bundle'!$P$4="Current = 1A per pair",2,IF($A134="","",('Temperature in bundle'!$Q$6-('Temperature in bundle'!$Q$6^2-4*(T134+V$7)*'Temperature in bundle'!$Q$7)^0.5)/2/(T134+V$7)))</f>
        <v/>
      </c>
      <c r="V134" s="98" t="str">
        <f t="shared" si="50"/>
        <v/>
      </c>
      <c r="W134" s="101" t="str">
        <f t="shared" si="57"/>
        <v/>
      </c>
      <c r="Y134" s="100" t="str">
        <f t="shared" si="51"/>
        <v/>
      </c>
      <c r="Z134" s="119" t="str">
        <f>IF('Temperature in bundle'!$P$4="Current = 1A per pair",2,IF($A134="","",('Temperature in bundle'!$Q$6-('Temperature in bundle'!$Q$6^2-4*(Y134+AA$7)*'Temperature in bundle'!$Q$7)^0.5)/2/(Y134+AA$7)))</f>
        <v/>
      </c>
      <c r="AA134" s="98" t="str">
        <f t="shared" si="52"/>
        <v/>
      </c>
      <c r="AB134" s="101" t="str">
        <f t="shared" si="58"/>
        <v/>
      </c>
    </row>
    <row r="135" spans="1:28">
      <c r="A135" t="str">
        <f t="shared" si="59"/>
        <v/>
      </c>
      <c r="B135" s="113">
        <v>-3</v>
      </c>
      <c r="C135" s="113">
        <f>(SQRT(3)/2)*-4</f>
        <v>-3.4641016151377544</v>
      </c>
      <c r="D135" s="113">
        <f t="shared" si="61"/>
        <v>4.5825756949558398</v>
      </c>
      <c r="E135" s="113" t="str">
        <f t="shared" si="53"/>
        <v/>
      </c>
      <c r="F135" s="113" t="str">
        <f t="shared" si="53"/>
        <v/>
      </c>
      <c r="G135" s="113" t="str">
        <f t="shared" si="60"/>
        <v/>
      </c>
      <c r="J135" s="116" t="str">
        <f t="shared" si="54"/>
        <v/>
      </c>
      <c r="K135" s="119" t="str">
        <f t="shared" si="45"/>
        <v/>
      </c>
      <c r="L135" s="98" t="str">
        <f t="shared" si="46"/>
        <v/>
      </c>
      <c r="M135" s="101" t="str">
        <f t="shared" si="55"/>
        <v/>
      </c>
      <c r="O135" s="100" t="str">
        <f t="shared" si="47"/>
        <v/>
      </c>
      <c r="P135" s="119" t="str">
        <f>IF('Temperature in bundle'!$P$4="Current = 1A per pair",2,IF($A135="","",('Temperature in bundle'!$Q$6-('Temperature in bundle'!$Q$6^2-4*(O135+Q$7)*'Temperature in bundle'!$Q$7)^0.5)/2/(O135+Q$7)))</f>
        <v/>
      </c>
      <c r="Q135" s="98" t="str">
        <f t="shared" si="48"/>
        <v/>
      </c>
      <c r="R135" s="101" t="str">
        <f t="shared" si="56"/>
        <v/>
      </c>
      <c r="T135" s="100" t="str">
        <f t="shared" si="49"/>
        <v/>
      </c>
      <c r="U135" s="119" t="str">
        <f>IF('Temperature in bundle'!$P$4="Current = 1A per pair",2,IF($A135="","",('Temperature in bundle'!$Q$6-('Temperature in bundle'!$Q$6^2-4*(T135+V$7)*'Temperature in bundle'!$Q$7)^0.5)/2/(T135+V$7)))</f>
        <v/>
      </c>
      <c r="V135" s="98" t="str">
        <f t="shared" si="50"/>
        <v/>
      </c>
      <c r="W135" s="101" t="str">
        <f t="shared" si="57"/>
        <v/>
      </c>
      <c r="Y135" s="100" t="str">
        <f t="shared" si="51"/>
        <v/>
      </c>
      <c r="Z135" s="119" t="str">
        <f>IF('Temperature in bundle'!$P$4="Current = 1A per pair",2,IF($A135="","",('Temperature in bundle'!$Q$6-('Temperature in bundle'!$Q$6^2-4*(Y135+AA$7)*'Temperature in bundle'!$Q$7)^0.5)/2/(Y135+AA$7)))</f>
        <v/>
      </c>
      <c r="AA135" s="98" t="str">
        <f t="shared" si="52"/>
        <v/>
      </c>
      <c r="AB135" s="101" t="str">
        <f t="shared" si="58"/>
        <v/>
      </c>
    </row>
    <row r="136" spans="1:28">
      <c r="A136" t="str">
        <f t="shared" si="59"/>
        <v/>
      </c>
      <c r="B136" s="113">
        <v>-2.5</v>
      </c>
      <c r="C136" s="113">
        <f>(SQRT(3)/2)*-5</f>
        <v>-4.3301270189221928</v>
      </c>
      <c r="D136" s="113">
        <f t="shared" si="61"/>
        <v>5</v>
      </c>
      <c r="E136" s="113" t="str">
        <f t="shared" si="53"/>
        <v/>
      </c>
      <c r="F136" s="113" t="str">
        <f t="shared" si="53"/>
        <v/>
      </c>
      <c r="G136" s="113" t="str">
        <f t="shared" si="60"/>
        <v/>
      </c>
      <c r="J136" s="116" t="str">
        <f t="shared" si="54"/>
        <v/>
      </c>
      <c r="K136" s="119" t="str">
        <f t="shared" si="45"/>
        <v/>
      </c>
      <c r="L136" s="98" t="str">
        <f t="shared" si="46"/>
        <v/>
      </c>
      <c r="M136" s="101" t="str">
        <f t="shared" si="55"/>
        <v/>
      </c>
      <c r="O136" s="100" t="str">
        <f t="shared" si="47"/>
        <v/>
      </c>
      <c r="P136" s="119" t="str">
        <f>IF('Temperature in bundle'!$P$4="Current = 1A per pair",2,IF($A136="","",('Temperature in bundle'!$Q$6-('Temperature in bundle'!$Q$6^2-4*(O136+Q$7)*'Temperature in bundle'!$Q$7)^0.5)/2/(O136+Q$7)))</f>
        <v/>
      </c>
      <c r="Q136" s="98" t="str">
        <f t="shared" si="48"/>
        <v/>
      </c>
      <c r="R136" s="101" t="str">
        <f t="shared" si="56"/>
        <v/>
      </c>
      <c r="T136" s="100" t="str">
        <f t="shared" si="49"/>
        <v/>
      </c>
      <c r="U136" s="119" t="str">
        <f>IF('Temperature in bundle'!$P$4="Current = 1A per pair",2,IF($A136="","",('Temperature in bundle'!$Q$6-('Temperature in bundle'!$Q$6^2-4*(T136+V$7)*'Temperature in bundle'!$Q$7)^0.5)/2/(T136+V$7)))</f>
        <v/>
      </c>
      <c r="V136" s="98" t="str">
        <f t="shared" si="50"/>
        <v/>
      </c>
      <c r="W136" s="101" t="str">
        <f t="shared" si="57"/>
        <v/>
      </c>
      <c r="Y136" s="100" t="str">
        <f t="shared" si="51"/>
        <v/>
      </c>
      <c r="Z136" s="119" t="str">
        <f>IF('Temperature in bundle'!$P$4="Current = 1A per pair",2,IF($A136="","",('Temperature in bundle'!$Q$6-('Temperature in bundle'!$Q$6^2-4*(Y136+AA$7)*'Temperature in bundle'!$Q$7)^0.5)/2/(Y136+AA$7)))</f>
        <v/>
      </c>
      <c r="AA136" s="98" t="str">
        <f t="shared" si="52"/>
        <v/>
      </c>
      <c r="AB136" s="101" t="str">
        <f t="shared" si="58"/>
        <v/>
      </c>
    </row>
    <row r="137" spans="1:28">
      <c r="A137" t="str">
        <f t="shared" si="59"/>
        <v/>
      </c>
      <c r="B137" s="113">
        <v>-1.5</v>
      </c>
      <c r="C137" s="113">
        <f t="shared" ref="C137:C142" si="64">(SQRT(3)/2)*-5</f>
        <v>-4.3301270189221928</v>
      </c>
      <c r="D137" s="113">
        <f t="shared" si="61"/>
        <v>4.5825756949558398</v>
      </c>
      <c r="E137" s="113" t="str">
        <f t="shared" si="53"/>
        <v/>
      </c>
      <c r="F137" s="113" t="str">
        <f t="shared" si="53"/>
        <v/>
      </c>
      <c r="G137" s="113" t="str">
        <f t="shared" si="60"/>
        <v/>
      </c>
      <c r="J137" s="116" t="str">
        <f t="shared" si="54"/>
        <v/>
      </c>
      <c r="K137" s="119" t="str">
        <f t="shared" si="45"/>
        <v/>
      </c>
      <c r="L137" s="98" t="str">
        <f t="shared" si="46"/>
        <v/>
      </c>
      <c r="M137" s="101" t="str">
        <f t="shared" si="55"/>
        <v/>
      </c>
      <c r="O137" s="100" t="str">
        <f t="shared" si="47"/>
        <v/>
      </c>
      <c r="P137" s="119" t="str">
        <f>IF('Temperature in bundle'!$P$4="Current = 1A per pair",2,IF($A137="","",('Temperature in bundle'!$Q$6-('Temperature in bundle'!$Q$6^2-4*(O137+Q$7)*'Temperature in bundle'!$Q$7)^0.5)/2/(O137+Q$7)))</f>
        <v/>
      </c>
      <c r="Q137" s="98" t="str">
        <f t="shared" si="48"/>
        <v/>
      </c>
      <c r="R137" s="101" t="str">
        <f t="shared" si="56"/>
        <v/>
      </c>
      <c r="T137" s="100" t="str">
        <f t="shared" si="49"/>
        <v/>
      </c>
      <c r="U137" s="119" t="str">
        <f>IF('Temperature in bundle'!$P$4="Current = 1A per pair",2,IF($A137="","",('Temperature in bundle'!$Q$6-('Temperature in bundle'!$Q$6^2-4*(T137+V$7)*'Temperature in bundle'!$Q$7)^0.5)/2/(T137+V$7)))</f>
        <v/>
      </c>
      <c r="V137" s="98" t="str">
        <f t="shared" si="50"/>
        <v/>
      </c>
      <c r="W137" s="101" t="str">
        <f t="shared" si="57"/>
        <v/>
      </c>
      <c r="Y137" s="100" t="str">
        <f t="shared" si="51"/>
        <v/>
      </c>
      <c r="Z137" s="119" t="str">
        <f>IF('Temperature in bundle'!$P$4="Current = 1A per pair",2,IF($A137="","",('Temperature in bundle'!$Q$6-('Temperature in bundle'!$Q$6^2-4*(Y137+AA$7)*'Temperature in bundle'!$Q$7)^0.5)/2/(Y137+AA$7)))</f>
        <v/>
      </c>
      <c r="AA137" s="98" t="str">
        <f t="shared" si="52"/>
        <v/>
      </c>
      <c r="AB137" s="101" t="str">
        <f t="shared" si="58"/>
        <v/>
      </c>
    </row>
    <row r="138" spans="1:28">
      <c r="A138" t="str">
        <f t="shared" si="59"/>
        <v/>
      </c>
      <c r="B138" s="113">
        <v>-0.5</v>
      </c>
      <c r="C138" s="113">
        <f t="shared" si="64"/>
        <v>-4.3301270189221928</v>
      </c>
      <c r="D138" s="113">
        <f t="shared" si="61"/>
        <v>4.3588989435406731</v>
      </c>
      <c r="E138" s="113" t="str">
        <f t="shared" si="53"/>
        <v/>
      </c>
      <c r="F138" s="113" t="str">
        <f t="shared" si="53"/>
        <v/>
      </c>
      <c r="G138" s="113" t="str">
        <f t="shared" si="60"/>
        <v/>
      </c>
      <c r="J138" s="116" t="str">
        <f t="shared" si="54"/>
        <v/>
      </c>
      <c r="K138" s="119" t="str">
        <f t="shared" si="45"/>
        <v/>
      </c>
      <c r="L138" s="98" t="str">
        <f t="shared" si="46"/>
        <v/>
      </c>
      <c r="M138" s="101" t="str">
        <f t="shared" si="55"/>
        <v/>
      </c>
      <c r="O138" s="100" t="str">
        <f t="shared" si="47"/>
        <v/>
      </c>
      <c r="P138" s="119" t="str">
        <f>IF('Temperature in bundle'!$P$4="Current = 1A per pair",2,IF($A138="","",('Temperature in bundle'!$Q$6-('Temperature in bundle'!$Q$6^2-4*(O138+Q$7)*'Temperature in bundle'!$Q$7)^0.5)/2/(O138+Q$7)))</f>
        <v/>
      </c>
      <c r="Q138" s="98" t="str">
        <f t="shared" si="48"/>
        <v/>
      </c>
      <c r="R138" s="101" t="str">
        <f t="shared" si="56"/>
        <v/>
      </c>
      <c r="T138" s="100" t="str">
        <f t="shared" si="49"/>
        <v/>
      </c>
      <c r="U138" s="119" t="str">
        <f>IF('Temperature in bundle'!$P$4="Current = 1A per pair",2,IF($A138="","",('Temperature in bundle'!$Q$6-('Temperature in bundle'!$Q$6^2-4*(T138+V$7)*'Temperature in bundle'!$Q$7)^0.5)/2/(T138+V$7)))</f>
        <v/>
      </c>
      <c r="V138" s="98" t="str">
        <f t="shared" si="50"/>
        <v/>
      </c>
      <c r="W138" s="101" t="str">
        <f t="shared" si="57"/>
        <v/>
      </c>
      <c r="Y138" s="100" t="str">
        <f t="shared" si="51"/>
        <v/>
      </c>
      <c r="Z138" s="119" t="str">
        <f>IF('Temperature in bundle'!$P$4="Current = 1A per pair",2,IF($A138="","",('Temperature in bundle'!$Q$6-('Temperature in bundle'!$Q$6^2-4*(Y138+AA$7)*'Temperature in bundle'!$Q$7)^0.5)/2/(Y138+AA$7)))</f>
        <v/>
      </c>
      <c r="AA138" s="98" t="str">
        <f t="shared" si="52"/>
        <v/>
      </c>
      <c r="AB138" s="101" t="str">
        <f t="shared" si="58"/>
        <v/>
      </c>
    </row>
    <row r="139" spans="1:28">
      <c r="A139" t="str">
        <f t="shared" si="59"/>
        <v/>
      </c>
      <c r="B139" s="113">
        <v>0.5</v>
      </c>
      <c r="C139" s="113">
        <f t="shared" si="64"/>
        <v>-4.3301270189221928</v>
      </c>
      <c r="D139" s="113">
        <f t="shared" si="61"/>
        <v>4.3588989435406731</v>
      </c>
      <c r="E139" s="113" t="str">
        <f t="shared" si="53"/>
        <v/>
      </c>
      <c r="F139" s="113" t="str">
        <f t="shared" si="53"/>
        <v/>
      </c>
      <c r="G139" s="113" t="str">
        <f t="shared" si="60"/>
        <v/>
      </c>
      <c r="J139" s="116" t="str">
        <f t="shared" si="54"/>
        <v/>
      </c>
      <c r="K139" s="119" t="str">
        <f t="shared" si="45"/>
        <v/>
      </c>
      <c r="L139" s="98" t="str">
        <f t="shared" si="46"/>
        <v/>
      </c>
      <c r="M139" s="101" t="str">
        <f t="shared" si="55"/>
        <v/>
      </c>
      <c r="O139" s="100" t="str">
        <f t="shared" si="47"/>
        <v/>
      </c>
      <c r="P139" s="119" t="str">
        <f>IF('Temperature in bundle'!$P$4="Current = 1A per pair",2,IF($A139="","",('Temperature in bundle'!$Q$6-('Temperature in bundle'!$Q$6^2-4*(O139+Q$7)*'Temperature in bundle'!$Q$7)^0.5)/2/(O139+Q$7)))</f>
        <v/>
      </c>
      <c r="Q139" s="98" t="str">
        <f t="shared" si="48"/>
        <v/>
      </c>
      <c r="R139" s="101" t="str">
        <f t="shared" si="56"/>
        <v/>
      </c>
      <c r="T139" s="100" t="str">
        <f t="shared" si="49"/>
        <v/>
      </c>
      <c r="U139" s="119" t="str">
        <f>IF('Temperature in bundle'!$P$4="Current = 1A per pair",2,IF($A139="","",('Temperature in bundle'!$Q$6-('Temperature in bundle'!$Q$6^2-4*(T139+V$7)*'Temperature in bundle'!$Q$7)^0.5)/2/(T139+V$7)))</f>
        <v/>
      </c>
      <c r="V139" s="98" t="str">
        <f t="shared" si="50"/>
        <v/>
      </c>
      <c r="W139" s="101" t="str">
        <f t="shared" si="57"/>
        <v/>
      </c>
      <c r="Y139" s="100" t="str">
        <f t="shared" si="51"/>
        <v/>
      </c>
      <c r="Z139" s="119" t="str">
        <f>IF('Temperature in bundle'!$P$4="Current = 1A per pair",2,IF($A139="","",('Temperature in bundle'!$Q$6-('Temperature in bundle'!$Q$6^2-4*(Y139+AA$7)*'Temperature in bundle'!$Q$7)^0.5)/2/(Y139+AA$7)))</f>
        <v/>
      </c>
      <c r="AA139" s="98" t="str">
        <f t="shared" si="52"/>
        <v/>
      </c>
      <c r="AB139" s="101" t="str">
        <f t="shared" si="58"/>
        <v/>
      </c>
    </row>
    <row r="140" spans="1:28">
      <c r="A140" t="str">
        <f t="shared" si="59"/>
        <v/>
      </c>
      <c r="B140" s="113">
        <v>1.5</v>
      </c>
      <c r="C140" s="113">
        <f t="shared" si="64"/>
        <v>-4.3301270189221928</v>
      </c>
      <c r="D140" s="113">
        <f t="shared" si="61"/>
        <v>4.5825756949558398</v>
      </c>
      <c r="E140" s="113" t="str">
        <f t="shared" si="53"/>
        <v/>
      </c>
      <c r="F140" s="113" t="str">
        <f t="shared" si="53"/>
        <v/>
      </c>
      <c r="G140" s="113" t="str">
        <f t="shared" si="60"/>
        <v/>
      </c>
      <c r="J140" s="116" t="str">
        <f t="shared" si="54"/>
        <v/>
      </c>
      <c r="K140" s="119" t="str">
        <f t="shared" si="45"/>
        <v/>
      </c>
      <c r="L140" s="98" t="str">
        <f t="shared" si="46"/>
        <v/>
      </c>
      <c r="M140" s="101" t="str">
        <f t="shared" si="55"/>
        <v/>
      </c>
      <c r="O140" s="100" t="str">
        <f t="shared" si="47"/>
        <v/>
      </c>
      <c r="P140" s="119" t="str">
        <f>IF('Temperature in bundle'!$P$4="Current = 1A per pair",2,IF($A140="","",('Temperature in bundle'!$Q$6-('Temperature in bundle'!$Q$6^2-4*(O140+Q$7)*'Temperature in bundle'!$Q$7)^0.5)/2/(O140+Q$7)))</f>
        <v/>
      </c>
      <c r="Q140" s="98" t="str">
        <f t="shared" si="48"/>
        <v/>
      </c>
      <c r="R140" s="101" t="str">
        <f t="shared" si="56"/>
        <v/>
      </c>
      <c r="T140" s="100" t="str">
        <f t="shared" si="49"/>
        <v/>
      </c>
      <c r="U140" s="119" t="str">
        <f>IF('Temperature in bundle'!$P$4="Current = 1A per pair",2,IF($A140="","",('Temperature in bundle'!$Q$6-('Temperature in bundle'!$Q$6^2-4*(T140+V$7)*'Temperature in bundle'!$Q$7)^0.5)/2/(T140+V$7)))</f>
        <v/>
      </c>
      <c r="V140" s="98" t="str">
        <f t="shared" si="50"/>
        <v/>
      </c>
      <c r="W140" s="101" t="str">
        <f t="shared" si="57"/>
        <v/>
      </c>
      <c r="Y140" s="100" t="str">
        <f t="shared" si="51"/>
        <v/>
      </c>
      <c r="Z140" s="119" t="str">
        <f>IF('Temperature in bundle'!$P$4="Current = 1A per pair",2,IF($A140="","",('Temperature in bundle'!$Q$6-('Temperature in bundle'!$Q$6^2-4*(Y140+AA$7)*'Temperature in bundle'!$Q$7)^0.5)/2/(Y140+AA$7)))</f>
        <v/>
      </c>
      <c r="AA140" s="98" t="str">
        <f t="shared" si="52"/>
        <v/>
      </c>
      <c r="AB140" s="101" t="str">
        <f t="shared" si="58"/>
        <v/>
      </c>
    </row>
    <row r="141" spans="1:28">
      <c r="A141" t="str">
        <f t="shared" si="59"/>
        <v/>
      </c>
      <c r="B141" s="113">
        <v>2.5</v>
      </c>
      <c r="C141" s="113">
        <f t="shared" si="64"/>
        <v>-4.3301270189221928</v>
      </c>
      <c r="D141" s="113">
        <f t="shared" si="61"/>
        <v>5</v>
      </c>
      <c r="E141" s="113" t="str">
        <f t="shared" si="53"/>
        <v/>
      </c>
      <c r="F141" s="113" t="str">
        <f t="shared" si="53"/>
        <v/>
      </c>
      <c r="G141" s="113" t="str">
        <f t="shared" si="60"/>
        <v/>
      </c>
      <c r="J141" s="116" t="str">
        <f t="shared" si="54"/>
        <v/>
      </c>
      <c r="K141" s="119" t="str">
        <f t="shared" si="45"/>
        <v/>
      </c>
      <c r="L141" s="98" t="str">
        <f t="shared" si="46"/>
        <v/>
      </c>
      <c r="M141" s="101" t="str">
        <f t="shared" si="55"/>
        <v/>
      </c>
      <c r="O141" s="100" t="str">
        <f t="shared" si="47"/>
        <v/>
      </c>
      <c r="P141" s="119" t="str">
        <f>IF('Temperature in bundle'!$P$4="Current = 1A per pair",2,IF($A141="","",('Temperature in bundle'!$Q$6-('Temperature in bundle'!$Q$6^2-4*(O141+Q$7)*'Temperature in bundle'!$Q$7)^0.5)/2/(O141+Q$7)))</f>
        <v/>
      </c>
      <c r="Q141" s="98" t="str">
        <f t="shared" si="48"/>
        <v/>
      </c>
      <c r="R141" s="101" t="str">
        <f t="shared" si="56"/>
        <v/>
      </c>
      <c r="T141" s="100" t="str">
        <f t="shared" si="49"/>
        <v/>
      </c>
      <c r="U141" s="119" t="str">
        <f>IF('Temperature in bundle'!$P$4="Current = 1A per pair",2,IF($A141="","",('Temperature in bundle'!$Q$6-('Temperature in bundle'!$Q$6^2-4*(T141+V$7)*'Temperature in bundle'!$Q$7)^0.5)/2/(T141+V$7)))</f>
        <v/>
      </c>
      <c r="V141" s="98" t="str">
        <f t="shared" si="50"/>
        <v/>
      </c>
      <c r="W141" s="101" t="str">
        <f t="shared" si="57"/>
        <v/>
      </c>
      <c r="Y141" s="100" t="str">
        <f t="shared" si="51"/>
        <v/>
      </c>
      <c r="Z141" s="119" t="str">
        <f>IF('Temperature in bundle'!$P$4="Current = 1A per pair",2,IF($A141="","",('Temperature in bundle'!$Q$6-('Temperature in bundle'!$Q$6^2-4*(Y141+AA$7)*'Temperature in bundle'!$Q$7)^0.5)/2/(Y141+AA$7)))</f>
        <v/>
      </c>
      <c r="AA141" s="98" t="str">
        <f t="shared" si="52"/>
        <v/>
      </c>
      <c r="AB141" s="101" t="str">
        <f t="shared" si="58"/>
        <v/>
      </c>
    </row>
    <row r="142" spans="1:28">
      <c r="A142" t="str">
        <f t="shared" si="59"/>
        <v/>
      </c>
      <c r="B142" s="113">
        <v>3.5</v>
      </c>
      <c r="C142" s="113">
        <f t="shared" si="64"/>
        <v>-4.3301270189221928</v>
      </c>
      <c r="D142" s="113">
        <f t="shared" si="61"/>
        <v>5.5677643628300215</v>
      </c>
      <c r="E142" s="113" t="str">
        <f t="shared" si="53"/>
        <v/>
      </c>
      <c r="F142" s="113" t="str">
        <f t="shared" si="53"/>
        <v/>
      </c>
      <c r="G142" s="113" t="str">
        <f t="shared" si="60"/>
        <v/>
      </c>
      <c r="J142" s="116" t="str">
        <f t="shared" si="54"/>
        <v/>
      </c>
      <c r="K142" s="119" t="str">
        <f t="shared" si="45"/>
        <v/>
      </c>
      <c r="L142" s="98" t="str">
        <f t="shared" si="46"/>
        <v/>
      </c>
      <c r="M142" s="101" t="str">
        <f t="shared" si="55"/>
        <v/>
      </c>
      <c r="O142" s="100" t="str">
        <f t="shared" si="47"/>
        <v/>
      </c>
      <c r="P142" s="119" t="str">
        <f>IF('Temperature in bundle'!$P$4="Current = 1A per pair",2,IF($A142="","",('Temperature in bundle'!$Q$6-('Temperature in bundle'!$Q$6^2-4*(O142+Q$7)*'Temperature in bundle'!$Q$7)^0.5)/2/(O142+Q$7)))</f>
        <v/>
      </c>
      <c r="Q142" s="98" t="str">
        <f t="shared" si="48"/>
        <v/>
      </c>
      <c r="R142" s="101" t="str">
        <f t="shared" si="56"/>
        <v/>
      </c>
      <c r="T142" s="100" t="str">
        <f t="shared" si="49"/>
        <v/>
      </c>
      <c r="U142" s="119" t="str">
        <f>IF('Temperature in bundle'!$P$4="Current = 1A per pair",2,IF($A142="","",('Temperature in bundle'!$Q$6-('Temperature in bundle'!$Q$6^2-4*(T142+V$7)*'Temperature in bundle'!$Q$7)^0.5)/2/(T142+V$7)))</f>
        <v/>
      </c>
      <c r="V142" s="98" t="str">
        <f t="shared" si="50"/>
        <v/>
      </c>
      <c r="W142" s="101" t="str">
        <f t="shared" si="57"/>
        <v/>
      </c>
      <c r="Y142" s="100" t="str">
        <f t="shared" si="51"/>
        <v/>
      </c>
      <c r="Z142" s="119" t="str">
        <f>IF('Temperature in bundle'!$P$4="Current = 1A per pair",2,IF($A142="","",('Temperature in bundle'!$Q$6-('Temperature in bundle'!$Q$6^2-4*(Y142+AA$7)*'Temperature in bundle'!$Q$7)^0.5)/2/(Y142+AA$7)))</f>
        <v/>
      </c>
      <c r="AA142" s="98" t="str">
        <f t="shared" si="52"/>
        <v/>
      </c>
      <c r="AB142" s="101" t="str">
        <f t="shared" si="58"/>
        <v/>
      </c>
    </row>
    <row r="143" spans="1:28">
      <c r="A143" t="str">
        <f t="shared" si="59"/>
        <v/>
      </c>
      <c r="B143" s="113">
        <v>4</v>
      </c>
      <c r="C143" s="113">
        <f>(SQRT(3)/2)*-4</f>
        <v>-3.4641016151377544</v>
      </c>
      <c r="D143" s="113">
        <f t="shared" si="61"/>
        <v>5.2915026221291814</v>
      </c>
      <c r="E143" s="113" t="str">
        <f t="shared" si="53"/>
        <v/>
      </c>
      <c r="F143" s="113" t="str">
        <f t="shared" si="53"/>
        <v/>
      </c>
      <c r="G143" s="113" t="str">
        <f t="shared" si="60"/>
        <v/>
      </c>
      <c r="J143" s="116" t="str">
        <f t="shared" si="54"/>
        <v/>
      </c>
      <c r="K143" s="119" t="str">
        <f t="shared" si="45"/>
        <v/>
      </c>
      <c r="L143" s="98" t="str">
        <f t="shared" si="46"/>
        <v/>
      </c>
      <c r="M143" s="101" t="str">
        <f t="shared" si="55"/>
        <v/>
      </c>
      <c r="O143" s="100" t="str">
        <f t="shared" si="47"/>
        <v/>
      </c>
      <c r="P143" s="119" t="str">
        <f>IF('Temperature in bundle'!$P$4="Current = 1A per pair",2,IF($A143="","",('Temperature in bundle'!$Q$6-('Temperature in bundle'!$Q$6^2-4*(O143+Q$7)*'Temperature in bundle'!$Q$7)^0.5)/2/(O143+Q$7)))</f>
        <v/>
      </c>
      <c r="Q143" s="98" t="str">
        <f t="shared" si="48"/>
        <v/>
      </c>
      <c r="R143" s="101" t="str">
        <f t="shared" si="56"/>
        <v/>
      </c>
      <c r="T143" s="100" t="str">
        <f t="shared" si="49"/>
        <v/>
      </c>
      <c r="U143" s="119" t="str">
        <f>IF('Temperature in bundle'!$P$4="Current = 1A per pair",2,IF($A143="","",('Temperature in bundle'!$Q$6-('Temperature in bundle'!$Q$6^2-4*(T143+V$7)*'Temperature in bundle'!$Q$7)^0.5)/2/(T143+V$7)))</f>
        <v/>
      </c>
      <c r="V143" s="98" t="str">
        <f t="shared" si="50"/>
        <v/>
      </c>
      <c r="W143" s="101" t="str">
        <f t="shared" si="57"/>
        <v/>
      </c>
      <c r="Y143" s="100" t="str">
        <f t="shared" si="51"/>
        <v/>
      </c>
      <c r="Z143" s="119" t="str">
        <f>IF('Temperature in bundle'!$P$4="Current = 1A per pair",2,IF($A143="","",('Temperature in bundle'!$Q$6-('Temperature in bundle'!$Q$6^2-4*(Y143+AA$7)*'Temperature in bundle'!$Q$7)^0.5)/2/(Y143+AA$7)))</f>
        <v/>
      </c>
      <c r="AA143" s="98" t="str">
        <f t="shared" si="52"/>
        <v/>
      </c>
      <c r="AB143" s="101" t="str">
        <f t="shared" si="58"/>
        <v/>
      </c>
    </row>
    <row r="144" spans="1:28">
      <c r="A144" t="str">
        <f t="shared" si="59"/>
        <v/>
      </c>
      <c r="B144" s="113">
        <v>4.5</v>
      </c>
      <c r="C144" s="113">
        <f>(SQRT(3)/2)*-3</f>
        <v>-2.598076211353316</v>
      </c>
      <c r="D144" s="113">
        <f t="shared" si="61"/>
        <v>5.196152422706632</v>
      </c>
      <c r="E144" s="113" t="str">
        <f t="shared" si="53"/>
        <v/>
      </c>
      <c r="F144" s="113" t="str">
        <f t="shared" si="53"/>
        <v/>
      </c>
      <c r="G144" s="113" t="str">
        <f t="shared" si="60"/>
        <v/>
      </c>
      <c r="J144" s="116" t="str">
        <f t="shared" si="54"/>
        <v/>
      </c>
      <c r="K144" s="119" t="str">
        <f t="shared" si="45"/>
        <v/>
      </c>
      <c r="L144" s="98" t="str">
        <f t="shared" si="46"/>
        <v/>
      </c>
      <c r="M144" s="101" t="str">
        <f t="shared" si="55"/>
        <v/>
      </c>
      <c r="O144" s="100" t="str">
        <f t="shared" si="47"/>
        <v/>
      </c>
      <c r="P144" s="119" t="str">
        <f>IF('Temperature in bundle'!$P$4="Current = 1A per pair",2,IF($A144="","",('Temperature in bundle'!$Q$6-('Temperature in bundle'!$Q$6^2-4*(O144+Q$7)*'Temperature in bundle'!$Q$7)^0.5)/2/(O144+Q$7)))</f>
        <v/>
      </c>
      <c r="Q144" s="98" t="str">
        <f t="shared" si="48"/>
        <v/>
      </c>
      <c r="R144" s="101" t="str">
        <f t="shared" si="56"/>
        <v/>
      </c>
      <c r="T144" s="100" t="str">
        <f t="shared" si="49"/>
        <v/>
      </c>
      <c r="U144" s="119" t="str">
        <f>IF('Temperature in bundle'!$P$4="Current = 1A per pair",2,IF($A144="","",('Temperature in bundle'!$Q$6-('Temperature in bundle'!$Q$6^2-4*(T144+V$7)*'Temperature in bundle'!$Q$7)^0.5)/2/(T144+V$7)))</f>
        <v/>
      </c>
      <c r="V144" s="98" t="str">
        <f t="shared" si="50"/>
        <v/>
      </c>
      <c r="W144" s="101" t="str">
        <f t="shared" si="57"/>
        <v/>
      </c>
      <c r="Y144" s="100" t="str">
        <f t="shared" si="51"/>
        <v/>
      </c>
      <c r="Z144" s="119" t="str">
        <f>IF('Temperature in bundle'!$P$4="Current = 1A per pair",2,IF($A144="","",('Temperature in bundle'!$Q$6-('Temperature in bundle'!$Q$6^2-4*(Y144+AA$7)*'Temperature in bundle'!$Q$7)^0.5)/2/(Y144+AA$7)))</f>
        <v/>
      </c>
      <c r="AA144" s="98" t="str">
        <f t="shared" si="52"/>
        <v/>
      </c>
      <c r="AB144" s="101" t="str">
        <f t="shared" si="58"/>
        <v/>
      </c>
    </row>
    <row r="145" spans="1:28">
      <c r="A145" t="str">
        <f t="shared" si="59"/>
        <v/>
      </c>
      <c r="B145" s="113">
        <v>5</v>
      </c>
      <c r="C145" s="113">
        <f>(SQRT(3)/2)*-2</f>
        <v>-1.7320508075688772</v>
      </c>
      <c r="D145" s="113">
        <f t="shared" si="61"/>
        <v>5.2915026221291814</v>
      </c>
      <c r="E145" s="113" t="str">
        <f t="shared" si="53"/>
        <v/>
      </c>
      <c r="F145" s="113" t="str">
        <f t="shared" si="53"/>
        <v/>
      </c>
      <c r="G145" s="113" t="str">
        <f t="shared" si="60"/>
        <v/>
      </c>
      <c r="J145" s="116" t="str">
        <f t="shared" si="54"/>
        <v/>
      </c>
      <c r="K145" s="119" t="str">
        <f t="shared" si="45"/>
        <v/>
      </c>
      <c r="L145" s="98" t="str">
        <f t="shared" si="46"/>
        <v/>
      </c>
      <c r="M145" s="101" t="str">
        <f t="shared" si="55"/>
        <v/>
      </c>
      <c r="O145" s="100" t="str">
        <f t="shared" si="47"/>
        <v/>
      </c>
      <c r="P145" s="119" t="str">
        <f>IF('Temperature in bundle'!$P$4="Current = 1A per pair",2,IF($A145="","",('Temperature in bundle'!$Q$6-('Temperature in bundle'!$Q$6^2-4*(O145+Q$7)*'Temperature in bundle'!$Q$7)^0.5)/2/(O145+Q$7)))</f>
        <v/>
      </c>
      <c r="Q145" s="98" t="str">
        <f t="shared" si="48"/>
        <v/>
      </c>
      <c r="R145" s="101" t="str">
        <f t="shared" si="56"/>
        <v/>
      </c>
      <c r="T145" s="100" t="str">
        <f t="shared" si="49"/>
        <v/>
      </c>
      <c r="U145" s="119" t="str">
        <f>IF('Temperature in bundle'!$P$4="Current = 1A per pair",2,IF($A145="","",('Temperature in bundle'!$Q$6-('Temperature in bundle'!$Q$6^2-4*(T145+V$7)*'Temperature in bundle'!$Q$7)^0.5)/2/(T145+V$7)))</f>
        <v/>
      </c>
      <c r="V145" s="98" t="str">
        <f t="shared" si="50"/>
        <v/>
      </c>
      <c r="W145" s="101" t="str">
        <f t="shared" si="57"/>
        <v/>
      </c>
      <c r="Y145" s="100" t="str">
        <f t="shared" si="51"/>
        <v/>
      </c>
      <c r="Z145" s="119" t="str">
        <f>IF('Temperature in bundle'!$P$4="Current = 1A per pair",2,IF($A145="","",('Temperature in bundle'!$Q$6-('Temperature in bundle'!$Q$6^2-4*(Y145+AA$7)*'Temperature in bundle'!$Q$7)^0.5)/2/(Y145+AA$7)))</f>
        <v/>
      </c>
      <c r="AA145" s="98" t="str">
        <f t="shared" si="52"/>
        <v/>
      </c>
      <c r="AB145" s="101" t="str">
        <f t="shared" si="58"/>
        <v/>
      </c>
    </row>
    <row r="146" spans="1:28">
      <c r="A146" t="str">
        <f t="shared" si="59"/>
        <v/>
      </c>
      <c r="B146" s="113">
        <v>5.5</v>
      </c>
      <c r="C146" s="113">
        <f>(SQRT(3)/2)*-1</f>
        <v>-0.8660254037844386</v>
      </c>
      <c r="D146" s="113">
        <f t="shared" si="61"/>
        <v>5.5677643628300215</v>
      </c>
      <c r="E146" s="113" t="str">
        <f t="shared" si="53"/>
        <v/>
      </c>
      <c r="F146" s="113" t="str">
        <f t="shared" si="53"/>
        <v/>
      </c>
      <c r="G146" s="113" t="str">
        <f t="shared" si="60"/>
        <v/>
      </c>
      <c r="J146" s="116" t="str">
        <f t="shared" si="54"/>
        <v/>
      </c>
      <c r="K146" s="119" t="str">
        <f t="shared" si="45"/>
        <v/>
      </c>
      <c r="L146" s="98" t="str">
        <f t="shared" si="46"/>
        <v/>
      </c>
      <c r="M146" s="101" t="str">
        <f t="shared" si="55"/>
        <v/>
      </c>
      <c r="O146" s="100" t="str">
        <f t="shared" si="47"/>
        <v/>
      </c>
      <c r="P146" s="119" t="str">
        <f>IF('Temperature in bundle'!$P$4="Current = 1A per pair",2,IF($A146="","",('Temperature in bundle'!$Q$6-('Temperature in bundle'!$Q$6^2-4*(O146+Q$7)*'Temperature in bundle'!$Q$7)^0.5)/2/(O146+Q$7)))</f>
        <v/>
      </c>
      <c r="Q146" s="98" t="str">
        <f t="shared" si="48"/>
        <v/>
      </c>
      <c r="R146" s="101" t="str">
        <f t="shared" si="56"/>
        <v/>
      </c>
      <c r="T146" s="100" t="str">
        <f t="shared" si="49"/>
        <v/>
      </c>
      <c r="U146" s="119" t="str">
        <f>IF('Temperature in bundle'!$P$4="Current = 1A per pair",2,IF($A146="","",('Temperature in bundle'!$Q$6-('Temperature in bundle'!$Q$6^2-4*(T146+V$7)*'Temperature in bundle'!$Q$7)^0.5)/2/(T146+V$7)))</f>
        <v/>
      </c>
      <c r="V146" s="98" t="str">
        <f t="shared" si="50"/>
        <v/>
      </c>
      <c r="W146" s="101" t="str">
        <f t="shared" si="57"/>
        <v/>
      </c>
      <c r="Y146" s="100" t="str">
        <f t="shared" si="51"/>
        <v/>
      </c>
      <c r="Z146" s="119" t="str">
        <f>IF('Temperature in bundle'!$P$4="Current = 1A per pair",2,IF($A146="","",('Temperature in bundle'!$Q$6-('Temperature in bundle'!$Q$6^2-4*(Y146+AA$7)*'Temperature in bundle'!$Q$7)^0.5)/2/(Y146+AA$7)))</f>
        <v/>
      </c>
      <c r="AA146" s="98" t="str">
        <f t="shared" si="52"/>
        <v/>
      </c>
      <c r="AB146" s="101" t="str">
        <f t="shared" si="58"/>
        <v/>
      </c>
    </row>
    <row r="147" spans="1:28">
      <c r="A147" t="str">
        <f t="shared" si="59"/>
        <v/>
      </c>
      <c r="B147" s="113">
        <v>6</v>
      </c>
      <c r="C147" s="113">
        <v>0</v>
      </c>
      <c r="D147" s="113">
        <f t="shared" si="61"/>
        <v>6</v>
      </c>
      <c r="E147" s="113" t="str">
        <f t="shared" si="53"/>
        <v/>
      </c>
      <c r="F147" s="113" t="str">
        <f t="shared" si="53"/>
        <v/>
      </c>
      <c r="G147" s="113" t="str">
        <f t="shared" si="60"/>
        <v/>
      </c>
      <c r="J147" s="116" t="str">
        <f t="shared" si="54"/>
        <v/>
      </c>
      <c r="K147" s="119" t="str">
        <f t="shared" si="45"/>
        <v/>
      </c>
      <c r="L147" s="98" t="str">
        <f t="shared" si="46"/>
        <v/>
      </c>
      <c r="M147" s="101" t="str">
        <f t="shared" si="55"/>
        <v/>
      </c>
      <c r="O147" s="100" t="str">
        <f t="shared" si="47"/>
        <v/>
      </c>
      <c r="P147" s="119" t="str">
        <f>IF('Temperature in bundle'!$P$4="Current = 1A per pair",2,IF($A147="","",('Temperature in bundle'!$Q$6-('Temperature in bundle'!$Q$6^2-4*(O147+Q$7)*'Temperature in bundle'!$Q$7)^0.5)/2/(O147+Q$7)))</f>
        <v/>
      </c>
      <c r="Q147" s="98" t="str">
        <f t="shared" si="48"/>
        <v/>
      </c>
      <c r="R147" s="101" t="str">
        <f t="shared" si="56"/>
        <v/>
      </c>
      <c r="T147" s="100" t="str">
        <f t="shared" si="49"/>
        <v/>
      </c>
      <c r="U147" s="119" t="str">
        <f>IF('Temperature in bundle'!$P$4="Current = 1A per pair",2,IF($A147="","",('Temperature in bundle'!$Q$6-('Temperature in bundle'!$Q$6^2-4*(T147+V$7)*'Temperature in bundle'!$Q$7)^0.5)/2/(T147+V$7)))</f>
        <v/>
      </c>
      <c r="V147" s="98" t="str">
        <f t="shared" si="50"/>
        <v/>
      </c>
      <c r="W147" s="101" t="str">
        <f t="shared" si="57"/>
        <v/>
      </c>
      <c r="Y147" s="100" t="str">
        <f t="shared" si="51"/>
        <v/>
      </c>
      <c r="Z147" s="119" t="str">
        <f>IF('Temperature in bundle'!$P$4="Current = 1A per pair",2,IF($A147="","",('Temperature in bundle'!$Q$6-('Temperature in bundle'!$Q$6^2-4*(Y147+AA$7)*'Temperature in bundle'!$Q$7)^0.5)/2/(Y147+AA$7)))</f>
        <v/>
      </c>
      <c r="AA147" s="98" t="str">
        <f t="shared" si="52"/>
        <v/>
      </c>
      <c r="AB147" s="101" t="str">
        <f t="shared" si="58"/>
        <v/>
      </c>
    </row>
    <row r="148" spans="1:28">
      <c r="A148" t="str">
        <f t="shared" si="59"/>
        <v/>
      </c>
      <c r="B148" s="113">
        <v>5.5</v>
      </c>
      <c r="C148" s="113">
        <f>SQRT(3)/2</f>
        <v>0.8660254037844386</v>
      </c>
      <c r="D148" s="113">
        <f t="shared" si="61"/>
        <v>5.5677643628300215</v>
      </c>
      <c r="E148" s="113" t="str">
        <f t="shared" si="53"/>
        <v/>
      </c>
      <c r="F148" s="113" t="str">
        <f t="shared" si="53"/>
        <v/>
      </c>
      <c r="G148" s="113" t="str">
        <f t="shared" si="60"/>
        <v/>
      </c>
      <c r="J148" s="116" t="str">
        <f t="shared" si="54"/>
        <v/>
      </c>
      <c r="K148" s="119" t="str">
        <f t="shared" si="45"/>
        <v/>
      </c>
      <c r="L148" s="98" t="str">
        <f t="shared" si="46"/>
        <v/>
      </c>
      <c r="M148" s="101" t="str">
        <f t="shared" si="55"/>
        <v/>
      </c>
      <c r="O148" s="100" t="str">
        <f t="shared" si="47"/>
        <v/>
      </c>
      <c r="P148" s="119" t="str">
        <f>IF('Temperature in bundle'!$P$4="Current = 1A per pair",2,IF($A148="","",('Temperature in bundle'!$Q$6-('Temperature in bundle'!$Q$6^2-4*(O148+Q$7)*'Temperature in bundle'!$Q$7)^0.5)/2/(O148+Q$7)))</f>
        <v/>
      </c>
      <c r="Q148" s="98" t="str">
        <f t="shared" si="48"/>
        <v/>
      </c>
      <c r="R148" s="101" t="str">
        <f t="shared" si="56"/>
        <v/>
      </c>
      <c r="T148" s="100" t="str">
        <f t="shared" si="49"/>
        <v/>
      </c>
      <c r="U148" s="119" t="str">
        <f>IF('Temperature in bundle'!$P$4="Current = 1A per pair",2,IF($A148="","",('Temperature in bundle'!$Q$6-('Temperature in bundle'!$Q$6^2-4*(T148+V$7)*'Temperature in bundle'!$Q$7)^0.5)/2/(T148+V$7)))</f>
        <v/>
      </c>
      <c r="V148" s="98" t="str">
        <f t="shared" si="50"/>
        <v/>
      </c>
      <c r="W148" s="101" t="str">
        <f t="shared" si="57"/>
        <v/>
      </c>
      <c r="Y148" s="100" t="str">
        <f t="shared" si="51"/>
        <v/>
      </c>
      <c r="Z148" s="119" t="str">
        <f>IF('Temperature in bundle'!$P$4="Current = 1A per pair",2,IF($A148="","",('Temperature in bundle'!$Q$6-('Temperature in bundle'!$Q$6^2-4*(Y148+AA$7)*'Temperature in bundle'!$Q$7)^0.5)/2/(Y148+AA$7)))</f>
        <v/>
      </c>
      <c r="AA148" s="98" t="str">
        <f t="shared" si="52"/>
        <v/>
      </c>
      <c r="AB148" s="101" t="str">
        <f t="shared" si="58"/>
        <v/>
      </c>
    </row>
    <row r="149" spans="1:28">
      <c r="A149" t="str">
        <f t="shared" si="59"/>
        <v/>
      </c>
      <c r="B149" s="113">
        <v>5</v>
      </c>
      <c r="C149" s="113">
        <f t="shared" ref="C149" si="65">SQRT(3)/2*2</f>
        <v>1.7320508075688772</v>
      </c>
      <c r="D149" s="113">
        <f t="shared" si="61"/>
        <v>5.2915026221291814</v>
      </c>
      <c r="E149" s="113" t="str">
        <f t="shared" si="53"/>
        <v/>
      </c>
      <c r="F149" s="113" t="str">
        <f t="shared" si="53"/>
        <v/>
      </c>
      <c r="G149" s="113" t="str">
        <f t="shared" si="60"/>
        <v/>
      </c>
      <c r="J149" s="116" t="str">
        <f t="shared" si="54"/>
        <v/>
      </c>
      <c r="K149" s="119" t="str">
        <f t="shared" si="45"/>
        <v/>
      </c>
      <c r="L149" s="98" t="str">
        <f t="shared" si="46"/>
        <v/>
      </c>
      <c r="M149" s="101" t="str">
        <f t="shared" si="55"/>
        <v/>
      </c>
      <c r="O149" s="100" t="str">
        <f t="shared" si="47"/>
        <v/>
      </c>
      <c r="P149" s="119" t="str">
        <f>IF('Temperature in bundle'!$P$4="Current = 1A per pair",2,IF($A149="","",('Temperature in bundle'!$Q$6-('Temperature in bundle'!$Q$6^2-4*(O149+Q$7)*'Temperature in bundle'!$Q$7)^0.5)/2/(O149+Q$7)))</f>
        <v/>
      </c>
      <c r="Q149" s="98" t="str">
        <f t="shared" si="48"/>
        <v/>
      </c>
      <c r="R149" s="101" t="str">
        <f t="shared" si="56"/>
        <v/>
      </c>
      <c r="T149" s="100" t="str">
        <f t="shared" si="49"/>
        <v/>
      </c>
      <c r="U149" s="119" t="str">
        <f>IF('Temperature in bundle'!$P$4="Current = 1A per pair",2,IF($A149="","",('Temperature in bundle'!$Q$6-('Temperature in bundle'!$Q$6^2-4*(T149+V$7)*'Temperature in bundle'!$Q$7)^0.5)/2/(T149+V$7)))</f>
        <v/>
      </c>
      <c r="V149" s="98" t="str">
        <f t="shared" si="50"/>
        <v/>
      </c>
      <c r="W149" s="101" t="str">
        <f t="shared" si="57"/>
        <v/>
      </c>
      <c r="Y149" s="100" t="str">
        <f t="shared" si="51"/>
        <v/>
      </c>
      <c r="Z149" s="119" t="str">
        <f>IF('Temperature in bundle'!$P$4="Current = 1A per pair",2,IF($A149="","",('Temperature in bundle'!$Q$6-('Temperature in bundle'!$Q$6^2-4*(Y149+AA$7)*'Temperature in bundle'!$Q$7)^0.5)/2/(Y149+AA$7)))</f>
        <v/>
      </c>
      <c r="AA149" s="98" t="str">
        <f t="shared" si="52"/>
        <v/>
      </c>
      <c r="AB149" s="101" t="str">
        <f t="shared" si="58"/>
        <v/>
      </c>
    </row>
    <row r="150" spans="1:28">
      <c r="A150" t="str">
        <f t="shared" si="59"/>
        <v/>
      </c>
      <c r="B150" s="113">
        <v>4.5</v>
      </c>
      <c r="C150" s="113">
        <f>SQRT(3)/2*3</f>
        <v>2.598076211353316</v>
      </c>
      <c r="D150" s="113">
        <f t="shared" si="61"/>
        <v>5.196152422706632</v>
      </c>
      <c r="E150" s="113" t="str">
        <f t="shared" si="53"/>
        <v/>
      </c>
      <c r="F150" s="113" t="str">
        <f t="shared" si="53"/>
        <v/>
      </c>
      <c r="G150" s="113" t="str">
        <f t="shared" si="60"/>
        <v/>
      </c>
      <c r="J150" s="116" t="str">
        <f t="shared" si="54"/>
        <v/>
      </c>
      <c r="K150" s="119" t="str">
        <f t="shared" si="45"/>
        <v/>
      </c>
      <c r="L150" s="98" t="str">
        <f t="shared" si="46"/>
        <v/>
      </c>
      <c r="M150" s="101" t="str">
        <f t="shared" si="55"/>
        <v/>
      </c>
      <c r="O150" s="100" t="str">
        <f t="shared" si="47"/>
        <v/>
      </c>
      <c r="P150" s="119" t="str">
        <f>IF('Temperature in bundle'!$P$4="Current = 1A per pair",2,IF($A150="","",('Temperature in bundle'!$Q$6-('Temperature in bundle'!$Q$6^2-4*(O150+Q$7)*'Temperature in bundle'!$Q$7)^0.5)/2/(O150+Q$7)))</f>
        <v/>
      </c>
      <c r="Q150" s="98" t="str">
        <f t="shared" si="48"/>
        <v/>
      </c>
      <c r="R150" s="101" t="str">
        <f t="shared" si="56"/>
        <v/>
      </c>
      <c r="T150" s="100" t="str">
        <f t="shared" si="49"/>
        <v/>
      </c>
      <c r="U150" s="119" t="str">
        <f>IF('Temperature in bundle'!$P$4="Current = 1A per pair",2,IF($A150="","",('Temperature in bundle'!$Q$6-('Temperature in bundle'!$Q$6^2-4*(T150+V$7)*'Temperature in bundle'!$Q$7)^0.5)/2/(T150+V$7)))</f>
        <v/>
      </c>
      <c r="V150" s="98" t="str">
        <f t="shared" si="50"/>
        <v/>
      </c>
      <c r="W150" s="101" t="str">
        <f t="shared" si="57"/>
        <v/>
      </c>
      <c r="Y150" s="100" t="str">
        <f t="shared" si="51"/>
        <v/>
      </c>
      <c r="Z150" s="119" t="str">
        <f>IF('Temperature in bundle'!$P$4="Current = 1A per pair",2,IF($A150="","",('Temperature in bundle'!$Q$6-('Temperature in bundle'!$Q$6^2-4*(Y150+AA$7)*'Temperature in bundle'!$Q$7)^0.5)/2/(Y150+AA$7)))</f>
        <v/>
      </c>
      <c r="AA150" s="98" t="str">
        <f t="shared" si="52"/>
        <v/>
      </c>
      <c r="AB150" s="101" t="str">
        <f t="shared" si="58"/>
        <v/>
      </c>
    </row>
    <row r="151" spans="1:28">
      <c r="A151" t="str">
        <f t="shared" si="59"/>
        <v/>
      </c>
      <c r="B151" s="113">
        <v>4</v>
      </c>
      <c r="C151" s="113">
        <f>SQRT(3)/2*4</f>
        <v>3.4641016151377544</v>
      </c>
      <c r="D151" s="113">
        <f t="shared" si="61"/>
        <v>5.2915026221291814</v>
      </c>
      <c r="E151" s="113" t="str">
        <f t="shared" si="53"/>
        <v/>
      </c>
      <c r="F151" s="113" t="str">
        <f t="shared" si="53"/>
        <v/>
      </c>
      <c r="G151" s="113" t="str">
        <f t="shared" si="60"/>
        <v/>
      </c>
      <c r="J151" s="116" t="str">
        <f t="shared" si="54"/>
        <v/>
      </c>
      <c r="K151" s="119" t="str">
        <f t="shared" si="45"/>
        <v/>
      </c>
      <c r="L151" s="98" t="str">
        <f t="shared" si="46"/>
        <v/>
      </c>
      <c r="M151" s="101" t="str">
        <f t="shared" si="55"/>
        <v/>
      </c>
      <c r="O151" s="100" t="str">
        <f t="shared" si="47"/>
        <v/>
      </c>
      <c r="P151" s="119" t="str">
        <f>IF('Temperature in bundle'!$P$4="Current = 1A per pair",2,IF($A151="","",('Temperature in bundle'!$Q$6-('Temperature in bundle'!$Q$6^2-4*(O151+Q$7)*'Temperature in bundle'!$Q$7)^0.5)/2/(O151+Q$7)))</f>
        <v/>
      </c>
      <c r="Q151" s="98" t="str">
        <f t="shared" si="48"/>
        <v/>
      </c>
      <c r="R151" s="101" t="str">
        <f t="shared" si="56"/>
        <v/>
      </c>
      <c r="T151" s="100" t="str">
        <f t="shared" si="49"/>
        <v/>
      </c>
      <c r="U151" s="119" t="str">
        <f>IF('Temperature in bundle'!$P$4="Current = 1A per pair",2,IF($A151="","",('Temperature in bundle'!$Q$6-('Temperature in bundle'!$Q$6^2-4*(T151+V$7)*'Temperature in bundle'!$Q$7)^0.5)/2/(T151+V$7)))</f>
        <v/>
      </c>
      <c r="V151" s="98" t="str">
        <f t="shared" si="50"/>
        <v/>
      </c>
      <c r="W151" s="101" t="str">
        <f t="shared" si="57"/>
        <v/>
      </c>
      <c r="Y151" s="100" t="str">
        <f t="shared" si="51"/>
        <v/>
      </c>
      <c r="Z151" s="119" t="str">
        <f>IF('Temperature in bundle'!$P$4="Current = 1A per pair",2,IF($A151="","",('Temperature in bundle'!$Q$6-('Temperature in bundle'!$Q$6^2-4*(Y151+AA$7)*'Temperature in bundle'!$Q$7)^0.5)/2/(Y151+AA$7)))</f>
        <v/>
      </c>
      <c r="AA151" s="98" t="str">
        <f t="shared" si="52"/>
        <v/>
      </c>
      <c r="AB151" s="101" t="str">
        <f t="shared" si="58"/>
        <v/>
      </c>
    </row>
    <row r="152" spans="1:28">
      <c r="A152" t="str">
        <f t="shared" si="59"/>
        <v/>
      </c>
      <c r="B152" s="113">
        <v>3.5</v>
      </c>
      <c r="C152" s="113">
        <f>SQRT(3)/2*5</f>
        <v>4.3301270189221928</v>
      </c>
      <c r="D152" s="113">
        <f t="shared" si="61"/>
        <v>5.5677643628300215</v>
      </c>
      <c r="E152" s="113" t="str">
        <f t="shared" si="53"/>
        <v/>
      </c>
      <c r="F152" s="113" t="str">
        <f t="shared" si="53"/>
        <v/>
      </c>
      <c r="G152" s="113" t="str">
        <f t="shared" si="60"/>
        <v/>
      </c>
      <c r="J152" s="116" t="str">
        <f t="shared" si="54"/>
        <v/>
      </c>
      <c r="K152" s="119" t="str">
        <f t="shared" si="45"/>
        <v/>
      </c>
      <c r="L152" s="98" t="str">
        <f t="shared" si="46"/>
        <v/>
      </c>
      <c r="M152" s="101" t="str">
        <f t="shared" si="55"/>
        <v/>
      </c>
      <c r="O152" s="100" t="str">
        <f t="shared" si="47"/>
        <v/>
      </c>
      <c r="P152" s="119" t="str">
        <f>IF('Temperature in bundle'!$P$4="Current = 1A per pair",2,IF($A152="","",('Temperature in bundle'!$Q$6-('Temperature in bundle'!$Q$6^2-4*(O152+Q$7)*'Temperature in bundle'!$Q$7)^0.5)/2/(O152+Q$7)))</f>
        <v/>
      </c>
      <c r="Q152" s="98" t="str">
        <f t="shared" si="48"/>
        <v/>
      </c>
      <c r="R152" s="101" t="str">
        <f t="shared" si="56"/>
        <v/>
      </c>
      <c r="T152" s="100" t="str">
        <f t="shared" si="49"/>
        <v/>
      </c>
      <c r="U152" s="119" t="str">
        <f>IF('Temperature in bundle'!$P$4="Current = 1A per pair",2,IF($A152="","",('Temperature in bundle'!$Q$6-('Temperature in bundle'!$Q$6^2-4*(T152+V$7)*'Temperature in bundle'!$Q$7)^0.5)/2/(T152+V$7)))</f>
        <v/>
      </c>
      <c r="V152" s="98" t="str">
        <f t="shared" si="50"/>
        <v/>
      </c>
      <c r="W152" s="101" t="str">
        <f t="shared" si="57"/>
        <v/>
      </c>
      <c r="Y152" s="100" t="str">
        <f t="shared" si="51"/>
        <v/>
      </c>
      <c r="Z152" s="119" t="str">
        <f>IF('Temperature in bundle'!$P$4="Current = 1A per pair",2,IF($A152="","",('Temperature in bundle'!$Q$6-('Temperature in bundle'!$Q$6^2-4*(Y152+AA$7)*'Temperature in bundle'!$Q$7)^0.5)/2/(Y152+AA$7)))</f>
        <v/>
      </c>
      <c r="AA152" s="98" t="str">
        <f t="shared" si="52"/>
        <v/>
      </c>
      <c r="AB152" s="101" t="str">
        <f t="shared" si="58"/>
        <v/>
      </c>
    </row>
    <row r="153" spans="1:28">
      <c r="A153" t="str">
        <f t="shared" si="59"/>
        <v/>
      </c>
      <c r="B153" s="113">
        <v>3</v>
      </c>
      <c r="C153" s="113">
        <f>SQRT(3)/2*6</f>
        <v>5.196152422706632</v>
      </c>
      <c r="D153" s="113">
        <f t="shared" si="61"/>
        <v>6</v>
      </c>
      <c r="E153" s="113" t="str">
        <f t="shared" si="53"/>
        <v/>
      </c>
      <c r="F153" s="113" t="str">
        <f t="shared" si="53"/>
        <v/>
      </c>
      <c r="G153" s="113" t="str">
        <f t="shared" si="60"/>
        <v/>
      </c>
      <c r="J153" s="116" t="str">
        <f t="shared" si="54"/>
        <v/>
      </c>
      <c r="K153" s="119" t="str">
        <f t="shared" si="45"/>
        <v/>
      </c>
      <c r="L153" s="98" t="str">
        <f t="shared" si="46"/>
        <v/>
      </c>
      <c r="M153" s="101" t="str">
        <f t="shared" si="55"/>
        <v/>
      </c>
      <c r="O153" s="100" t="str">
        <f t="shared" si="47"/>
        <v/>
      </c>
      <c r="P153" s="119" t="str">
        <f>IF('Temperature in bundle'!$P$4="Current = 1A per pair",2,IF($A153="","",('Temperature in bundle'!$Q$6-('Temperature in bundle'!$Q$6^2-4*(O153+Q$7)*'Temperature in bundle'!$Q$7)^0.5)/2/(O153+Q$7)))</f>
        <v/>
      </c>
      <c r="Q153" s="98" t="str">
        <f t="shared" si="48"/>
        <v/>
      </c>
      <c r="R153" s="101" t="str">
        <f t="shared" si="56"/>
        <v/>
      </c>
      <c r="T153" s="100" t="str">
        <f t="shared" si="49"/>
        <v/>
      </c>
      <c r="U153" s="119" t="str">
        <f>IF('Temperature in bundle'!$P$4="Current = 1A per pair",2,IF($A153="","",('Temperature in bundle'!$Q$6-('Temperature in bundle'!$Q$6^2-4*(T153+V$7)*'Temperature in bundle'!$Q$7)^0.5)/2/(T153+V$7)))</f>
        <v/>
      </c>
      <c r="V153" s="98" t="str">
        <f t="shared" si="50"/>
        <v/>
      </c>
      <c r="W153" s="101" t="str">
        <f t="shared" si="57"/>
        <v/>
      </c>
      <c r="Y153" s="100" t="str">
        <f t="shared" si="51"/>
        <v/>
      </c>
      <c r="Z153" s="119" t="str">
        <f>IF('Temperature in bundle'!$P$4="Current = 1A per pair",2,IF($A153="","",('Temperature in bundle'!$Q$6-('Temperature in bundle'!$Q$6^2-4*(Y153+AA$7)*'Temperature in bundle'!$Q$7)^0.5)/2/(Y153+AA$7)))</f>
        <v/>
      </c>
      <c r="AA153" s="98" t="str">
        <f t="shared" si="52"/>
        <v/>
      </c>
      <c r="AB153" s="101" t="str">
        <f t="shared" si="58"/>
        <v/>
      </c>
    </row>
    <row r="154" spans="1:28">
      <c r="A154" t="str">
        <f t="shared" si="59"/>
        <v/>
      </c>
      <c r="B154" s="113">
        <v>2</v>
      </c>
      <c r="C154" s="113">
        <f t="shared" ref="C154:C159" si="66">SQRT(3)/2*6</f>
        <v>5.196152422706632</v>
      </c>
      <c r="D154" s="113">
        <f t="shared" si="61"/>
        <v>5.5677643628300215</v>
      </c>
      <c r="E154" s="113" t="str">
        <f t="shared" si="53"/>
        <v/>
      </c>
      <c r="F154" s="113" t="str">
        <f t="shared" si="53"/>
        <v/>
      </c>
      <c r="G154" s="113" t="str">
        <f t="shared" si="60"/>
        <v/>
      </c>
      <c r="J154" s="116" t="str">
        <f t="shared" si="54"/>
        <v/>
      </c>
      <c r="K154" s="119" t="str">
        <f t="shared" si="45"/>
        <v/>
      </c>
      <c r="L154" s="98" t="str">
        <f t="shared" si="46"/>
        <v/>
      </c>
      <c r="M154" s="101" t="str">
        <f t="shared" si="55"/>
        <v/>
      </c>
      <c r="O154" s="100" t="str">
        <f t="shared" si="47"/>
        <v/>
      </c>
      <c r="P154" s="119" t="str">
        <f>IF('Temperature in bundle'!$P$4="Current = 1A per pair",2,IF($A154="","",('Temperature in bundle'!$Q$6-('Temperature in bundle'!$Q$6^2-4*(O154+Q$7)*'Temperature in bundle'!$Q$7)^0.5)/2/(O154+Q$7)))</f>
        <v/>
      </c>
      <c r="Q154" s="98" t="str">
        <f t="shared" si="48"/>
        <v/>
      </c>
      <c r="R154" s="101" t="str">
        <f t="shared" si="56"/>
        <v/>
      </c>
      <c r="T154" s="100" t="str">
        <f t="shared" si="49"/>
        <v/>
      </c>
      <c r="U154" s="119" t="str">
        <f>IF('Temperature in bundle'!$P$4="Current = 1A per pair",2,IF($A154="","",('Temperature in bundle'!$Q$6-('Temperature in bundle'!$Q$6^2-4*(T154+V$7)*'Temperature in bundle'!$Q$7)^0.5)/2/(T154+V$7)))</f>
        <v/>
      </c>
      <c r="V154" s="98" t="str">
        <f t="shared" si="50"/>
        <v/>
      </c>
      <c r="W154" s="101" t="str">
        <f t="shared" si="57"/>
        <v/>
      </c>
      <c r="Y154" s="100" t="str">
        <f t="shared" si="51"/>
        <v/>
      </c>
      <c r="Z154" s="119" t="str">
        <f>IF('Temperature in bundle'!$P$4="Current = 1A per pair",2,IF($A154="","",('Temperature in bundle'!$Q$6-('Temperature in bundle'!$Q$6^2-4*(Y154+AA$7)*'Temperature in bundle'!$Q$7)^0.5)/2/(Y154+AA$7)))</f>
        <v/>
      </c>
      <c r="AA154" s="98" t="str">
        <f t="shared" si="52"/>
        <v/>
      </c>
      <c r="AB154" s="101" t="str">
        <f t="shared" si="58"/>
        <v/>
      </c>
    </row>
    <row r="155" spans="1:28">
      <c r="A155" t="str">
        <f t="shared" si="59"/>
        <v/>
      </c>
      <c r="B155" s="113">
        <v>1</v>
      </c>
      <c r="C155" s="113">
        <f t="shared" si="66"/>
        <v>5.196152422706632</v>
      </c>
      <c r="D155" s="113">
        <f t="shared" si="61"/>
        <v>5.2915026221291814</v>
      </c>
      <c r="E155" s="113" t="str">
        <f t="shared" si="53"/>
        <v/>
      </c>
      <c r="F155" s="113" t="str">
        <f t="shared" si="53"/>
        <v/>
      </c>
      <c r="G155" s="113" t="str">
        <f t="shared" si="60"/>
        <v/>
      </c>
      <c r="J155" s="116" t="str">
        <f t="shared" si="54"/>
        <v/>
      </c>
      <c r="K155" s="119" t="str">
        <f t="shared" si="45"/>
        <v/>
      </c>
      <c r="L155" s="98" t="str">
        <f t="shared" si="46"/>
        <v/>
      </c>
      <c r="M155" s="101" t="str">
        <f t="shared" si="55"/>
        <v/>
      </c>
      <c r="O155" s="100" t="str">
        <f t="shared" si="47"/>
        <v/>
      </c>
      <c r="P155" s="119" t="str">
        <f>IF('Temperature in bundle'!$P$4="Current = 1A per pair",2,IF($A155="","",('Temperature in bundle'!$Q$6-('Temperature in bundle'!$Q$6^2-4*(O155+Q$7)*'Temperature in bundle'!$Q$7)^0.5)/2/(O155+Q$7)))</f>
        <v/>
      </c>
      <c r="Q155" s="98" t="str">
        <f t="shared" si="48"/>
        <v/>
      </c>
      <c r="R155" s="101" t="str">
        <f t="shared" si="56"/>
        <v/>
      </c>
      <c r="T155" s="100" t="str">
        <f t="shared" si="49"/>
        <v/>
      </c>
      <c r="U155" s="119" t="str">
        <f>IF('Temperature in bundle'!$P$4="Current = 1A per pair",2,IF($A155="","",('Temperature in bundle'!$Q$6-('Temperature in bundle'!$Q$6^2-4*(T155+V$7)*'Temperature in bundle'!$Q$7)^0.5)/2/(T155+V$7)))</f>
        <v/>
      </c>
      <c r="V155" s="98" t="str">
        <f t="shared" si="50"/>
        <v/>
      </c>
      <c r="W155" s="101" t="str">
        <f t="shared" si="57"/>
        <v/>
      </c>
      <c r="Y155" s="100" t="str">
        <f t="shared" si="51"/>
        <v/>
      </c>
      <c r="Z155" s="119" t="str">
        <f>IF('Temperature in bundle'!$P$4="Current = 1A per pair",2,IF($A155="","",('Temperature in bundle'!$Q$6-('Temperature in bundle'!$Q$6^2-4*(Y155+AA$7)*'Temperature in bundle'!$Q$7)^0.5)/2/(Y155+AA$7)))</f>
        <v/>
      </c>
      <c r="AA155" s="98" t="str">
        <f t="shared" si="52"/>
        <v/>
      </c>
      <c r="AB155" s="101" t="str">
        <f t="shared" si="58"/>
        <v/>
      </c>
    </row>
    <row r="156" spans="1:28">
      <c r="A156" t="str">
        <f t="shared" si="59"/>
        <v/>
      </c>
      <c r="B156" s="113">
        <v>0</v>
      </c>
      <c r="C156" s="113">
        <f t="shared" si="66"/>
        <v>5.196152422706632</v>
      </c>
      <c r="D156" s="113">
        <f t="shared" si="61"/>
        <v>5.196152422706632</v>
      </c>
      <c r="E156" s="113" t="str">
        <f t="shared" si="53"/>
        <v/>
      </c>
      <c r="F156" s="113" t="str">
        <f t="shared" si="53"/>
        <v/>
      </c>
      <c r="G156" s="113" t="str">
        <f t="shared" si="60"/>
        <v/>
      </c>
      <c r="J156" s="116" t="str">
        <f t="shared" si="54"/>
        <v/>
      </c>
      <c r="K156" s="119" t="str">
        <f t="shared" si="45"/>
        <v/>
      </c>
      <c r="L156" s="98" t="str">
        <f t="shared" si="46"/>
        <v/>
      </c>
      <c r="M156" s="101" t="str">
        <f t="shared" si="55"/>
        <v/>
      </c>
      <c r="O156" s="100" t="str">
        <f t="shared" si="47"/>
        <v/>
      </c>
      <c r="P156" s="119" t="str">
        <f>IF('Temperature in bundle'!$P$4="Current = 1A per pair",2,IF($A156="","",('Temperature in bundle'!$Q$6-('Temperature in bundle'!$Q$6^2-4*(O156+Q$7)*'Temperature in bundle'!$Q$7)^0.5)/2/(O156+Q$7)))</f>
        <v/>
      </c>
      <c r="Q156" s="98" t="str">
        <f t="shared" si="48"/>
        <v/>
      </c>
      <c r="R156" s="101" t="str">
        <f t="shared" si="56"/>
        <v/>
      </c>
      <c r="T156" s="100" t="str">
        <f t="shared" si="49"/>
        <v/>
      </c>
      <c r="U156" s="119" t="str">
        <f>IF('Temperature in bundle'!$P$4="Current = 1A per pair",2,IF($A156="","",('Temperature in bundle'!$Q$6-('Temperature in bundle'!$Q$6^2-4*(T156+V$7)*'Temperature in bundle'!$Q$7)^0.5)/2/(T156+V$7)))</f>
        <v/>
      </c>
      <c r="V156" s="98" t="str">
        <f t="shared" si="50"/>
        <v/>
      </c>
      <c r="W156" s="101" t="str">
        <f t="shared" si="57"/>
        <v/>
      </c>
      <c r="Y156" s="100" t="str">
        <f t="shared" si="51"/>
        <v/>
      </c>
      <c r="Z156" s="119" t="str">
        <f>IF('Temperature in bundle'!$P$4="Current = 1A per pair",2,IF($A156="","",('Temperature in bundle'!$Q$6-('Temperature in bundle'!$Q$6^2-4*(Y156+AA$7)*'Temperature in bundle'!$Q$7)^0.5)/2/(Y156+AA$7)))</f>
        <v/>
      </c>
      <c r="AA156" s="98" t="str">
        <f t="shared" si="52"/>
        <v/>
      </c>
      <c r="AB156" s="101" t="str">
        <f t="shared" si="58"/>
        <v/>
      </c>
    </row>
    <row r="157" spans="1:28">
      <c r="A157" t="str">
        <f t="shared" si="59"/>
        <v/>
      </c>
      <c r="B157" s="113">
        <v>-1</v>
      </c>
      <c r="C157" s="113">
        <f t="shared" si="66"/>
        <v>5.196152422706632</v>
      </c>
      <c r="D157" s="113">
        <f t="shared" si="61"/>
        <v>5.2915026221291814</v>
      </c>
      <c r="E157" s="113" t="str">
        <f t="shared" si="53"/>
        <v/>
      </c>
      <c r="F157" s="113" t="str">
        <f t="shared" si="53"/>
        <v/>
      </c>
      <c r="G157" s="113" t="str">
        <f t="shared" si="60"/>
        <v/>
      </c>
      <c r="J157" s="116" t="str">
        <f t="shared" si="54"/>
        <v/>
      </c>
      <c r="K157" s="119" t="str">
        <f t="shared" si="45"/>
        <v/>
      </c>
      <c r="L157" s="98" t="str">
        <f t="shared" si="46"/>
        <v/>
      </c>
      <c r="M157" s="101" t="str">
        <f t="shared" si="55"/>
        <v/>
      </c>
      <c r="O157" s="100" t="str">
        <f t="shared" si="47"/>
        <v/>
      </c>
      <c r="P157" s="119" t="str">
        <f>IF('Temperature in bundle'!$P$4="Current = 1A per pair",2,IF($A157="","",('Temperature in bundle'!$Q$6-('Temperature in bundle'!$Q$6^2-4*(O157+Q$7)*'Temperature in bundle'!$Q$7)^0.5)/2/(O157+Q$7)))</f>
        <v/>
      </c>
      <c r="Q157" s="98" t="str">
        <f t="shared" si="48"/>
        <v/>
      </c>
      <c r="R157" s="101" t="str">
        <f t="shared" si="56"/>
        <v/>
      </c>
      <c r="T157" s="100" t="str">
        <f t="shared" si="49"/>
        <v/>
      </c>
      <c r="U157" s="119" t="str">
        <f>IF('Temperature in bundle'!$P$4="Current = 1A per pair",2,IF($A157="","",('Temperature in bundle'!$Q$6-('Temperature in bundle'!$Q$6^2-4*(T157+V$7)*'Temperature in bundle'!$Q$7)^0.5)/2/(T157+V$7)))</f>
        <v/>
      </c>
      <c r="V157" s="98" t="str">
        <f t="shared" si="50"/>
        <v/>
      </c>
      <c r="W157" s="101" t="str">
        <f t="shared" si="57"/>
        <v/>
      </c>
      <c r="Y157" s="100" t="str">
        <f t="shared" si="51"/>
        <v/>
      </c>
      <c r="Z157" s="119" t="str">
        <f>IF('Temperature in bundle'!$P$4="Current = 1A per pair",2,IF($A157="","",('Temperature in bundle'!$Q$6-('Temperature in bundle'!$Q$6^2-4*(Y157+AA$7)*'Temperature in bundle'!$Q$7)^0.5)/2/(Y157+AA$7)))</f>
        <v/>
      </c>
      <c r="AA157" s="98" t="str">
        <f t="shared" si="52"/>
        <v/>
      </c>
      <c r="AB157" s="101" t="str">
        <f t="shared" si="58"/>
        <v/>
      </c>
    </row>
    <row r="158" spans="1:28">
      <c r="A158" t="str">
        <f t="shared" si="59"/>
        <v/>
      </c>
      <c r="B158" s="113">
        <v>-2</v>
      </c>
      <c r="C158" s="113">
        <f t="shared" si="66"/>
        <v>5.196152422706632</v>
      </c>
      <c r="D158" s="113">
        <f t="shared" si="61"/>
        <v>5.5677643628300215</v>
      </c>
      <c r="E158" s="113" t="str">
        <f t="shared" si="53"/>
        <v/>
      </c>
      <c r="F158" s="113" t="str">
        <f t="shared" si="53"/>
        <v/>
      </c>
      <c r="G158" s="113" t="str">
        <f t="shared" si="60"/>
        <v/>
      </c>
      <c r="J158" s="116" t="str">
        <f t="shared" si="54"/>
        <v/>
      </c>
      <c r="K158" s="119" t="str">
        <f t="shared" si="45"/>
        <v/>
      </c>
      <c r="L158" s="98" t="str">
        <f t="shared" si="46"/>
        <v/>
      </c>
      <c r="M158" s="101" t="str">
        <f t="shared" si="55"/>
        <v/>
      </c>
      <c r="O158" s="100" t="str">
        <f t="shared" si="47"/>
        <v/>
      </c>
      <c r="P158" s="119" t="str">
        <f>IF('Temperature in bundle'!$P$4="Current = 1A per pair",2,IF($A158="","",('Temperature in bundle'!$Q$6-('Temperature in bundle'!$Q$6^2-4*(O158+Q$7)*'Temperature in bundle'!$Q$7)^0.5)/2/(O158+Q$7)))</f>
        <v/>
      </c>
      <c r="Q158" s="98" t="str">
        <f t="shared" si="48"/>
        <v/>
      </c>
      <c r="R158" s="101" t="str">
        <f t="shared" si="56"/>
        <v/>
      </c>
      <c r="T158" s="100" t="str">
        <f t="shared" si="49"/>
        <v/>
      </c>
      <c r="U158" s="119" t="str">
        <f>IF('Temperature in bundle'!$P$4="Current = 1A per pair",2,IF($A158="","",('Temperature in bundle'!$Q$6-('Temperature in bundle'!$Q$6^2-4*(T158+V$7)*'Temperature in bundle'!$Q$7)^0.5)/2/(T158+V$7)))</f>
        <v/>
      </c>
      <c r="V158" s="98" t="str">
        <f t="shared" si="50"/>
        <v/>
      </c>
      <c r="W158" s="101" t="str">
        <f t="shared" si="57"/>
        <v/>
      </c>
      <c r="Y158" s="100" t="str">
        <f t="shared" si="51"/>
        <v/>
      </c>
      <c r="Z158" s="119" t="str">
        <f>IF('Temperature in bundle'!$P$4="Current = 1A per pair",2,IF($A158="","",('Temperature in bundle'!$Q$6-('Temperature in bundle'!$Q$6^2-4*(Y158+AA$7)*'Temperature in bundle'!$Q$7)^0.5)/2/(Y158+AA$7)))</f>
        <v/>
      </c>
      <c r="AA158" s="98" t="str">
        <f t="shared" si="52"/>
        <v/>
      </c>
      <c r="AB158" s="101" t="str">
        <f t="shared" si="58"/>
        <v/>
      </c>
    </row>
    <row r="159" spans="1:28">
      <c r="A159" t="str">
        <f t="shared" si="59"/>
        <v/>
      </c>
      <c r="B159" s="113">
        <v>-3</v>
      </c>
      <c r="C159" s="113">
        <f t="shared" si="66"/>
        <v>5.196152422706632</v>
      </c>
      <c r="D159" s="113">
        <f t="shared" si="61"/>
        <v>6</v>
      </c>
      <c r="E159" s="113" t="str">
        <f t="shared" si="53"/>
        <v/>
      </c>
      <c r="F159" s="113" t="str">
        <f t="shared" si="53"/>
        <v/>
      </c>
      <c r="G159" s="113" t="str">
        <f t="shared" si="60"/>
        <v/>
      </c>
      <c r="J159" s="116" t="str">
        <f t="shared" si="54"/>
        <v/>
      </c>
      <c r="K159" s="119" t="str">
        <f t="shared" si="45"/>
        <v/>
      </c>
      <c r="L159" s="98" t="str">
        <f t="shared" si="46"/>
        <v/>
      </c>
      <c r="M159" s="101" t="str">
        <f t="shared" si="55"/>
        <v/>
      </c>
      <c r="O159" s="100" t="str">
        <f t="shared" si="47"/>
        <v/>
      </c>
      <c r="P159" s="119" t="str">
        <f>IF('Temperature in bundle'!$P$4="Current = 1A per pair",2,IF($A159="","",('Temperature in bundle'!$Q$6-('Temperature in bundle'!$Q$6^2-4*(O159+Q$7)*'Temperature in bundle'!$Q$7)^0.5)/2/(O159+Q$7)))</f>
        <v/>
      </c>
      <c r="Q159" s="98" t="str">
        <f t="shared" si="48"/>
        <v/>
      </c>
      <c r="R159" s="101" t="str">
        <f t="shared" si="56"/>
        <v/>
      </c>
      <c r="T159" s="100" t="str">
        <f t="shared" si="49"/>
        <v/>
      </c>
      <c r="U159" s="119" t="str">
        <f>IF('Temperature in bundle'!$P$4="Current = 1A per pair",2,IF($A159="","",('Temperature in bundle'!$Q$6-('Temperature in bundle'!$Q$6^2-4*(T159+V$7)*'Temperature in bundle'!$Q$7)^0.5)/2/(T159+V$7)))</f>
        <v/>
      </c>
      <c r="V159" s="98" t="str">
        <f t="shared" si="50"/>
        <v/>
      </c>
      <c r="W159" s="101" t="str">
        <f t="shared" si="57"/>
        <v/>
      </c>
      <c r="Y159" s="100" t="str">
        <f t="shared" si="51"/>
        <v/>
      </c>
      <c r="Z159" s="119" t="str">
        <f>IF('Temperature in bundle'!$P$4="Current = 1A per pair",2,IF($A159="","",('Temperature in bundle'!$Q$6-('Temperature in bundle'!$Q$6^2-4*(Y159+AA$7)*'Temperature in bundle'!$Q$7)^0.5)/2/(Y159+AA$7)))</f>
        <v/>
      </c>
      <c r="AA159" s="98" t="str">
        <f t="shared" si="52"/>
        <v/>
      </c>
      <c r="AB159" s="101" t="str">
        <f t="shared" si="58"/>
        <v/>
      </c>
    </row>
    <row r="160" spans="1:28">
      <c r="A160" t="str">
        <f t="shared" si="59"/>
        <v/>
      </c>
      <c r="B160" s="113">
        <v>-3.5</v>
      </c>
      <c r="C160" s="113">
        <f>SQRT(3)/2*5</f>
        <v>4.3301270189221928</v>
      </c>
      <c r="D160" s="113">
        <f t="shared" si="61"/>
        <v>5.5677643628300215</v>
      </c>
      <c r="E160" s="113" t="str">
        <f t="shared" si="53"/>
        <v/>
      </c>
      <c r="F160" s="113" t="str">
        <f t="shared" si="53"/>
        <v/>
      </c>
      <c r="G160" s="113" t="str">
        <f t="shared" si="60"/>
        <v/>
      </c>
      <c r="J160" s="116" t="str">
        <f t="shared" si="54"/>
        <v/>
      </c>
      <c r="K160" s="119" t="str">
        <f t="shared" si="45"/>
        <v/>
      </c>
      <c r="L160" s="98" t="str">
        <f t="shared" si="46"/>
        <v/>
      </c>
      <c r="M160" s="101" t="str">
        <f t="shared" si="55"/>
        <v/>
      </c>
      <c r="O160" s="100" t="str">
        <f t="shared" si="47"/>
        <v/>
      </c>
      <c r="P160" s="119" t="str">
        <f>IF('Temperature in bundle'!$P$4="Current = 1A per pair",2,IF($A160="","",('Temperature in bundle'!$Q$6-('Temperature in bundle'!$Q$6^2-4*(O160+Q$7)*'Temperature in bundle'!$Q$7)^0.5)/2/(O160+Q$7)))</f>
        <v/>
      </c>
      <c r="Q160" s="98" t="str">
        <f t="shared" si="48"/>
        <v/>
      </c>
      <c r="R160" s="101" t="str">
        <f t="shared" si="56"/>
        <v/>
      </c>
      <c r="T160" s="100" t="str">
        <f t="shared" si="49"/>
        <v/>
      </c>
      <c r="U160" s="119" t="str">
        <f>IF('Temperature in bundle'!$P$4="Current = 1A per pair",2,IF($A160="","",('Temperature in bundle'!$Q$6-('Temperature in bundle'!$Q$6^2-4*(T160+V$7)*'Temperature in bundle'!$Q$7)^0.5)/2/(T160+V$7)))</f>
        <v/>
      </c>
      <c r="V160" s="98" t="str">
        <f t="shared" si="50"/>
        <v/>
      </c>
      <c r="W160" s="101" t="str">
        <f t="shared" si="57"/>
        <v/>
      </c>
      <c r="Y160" s="100" t="str">
        <f t="shared" si="51"/>
        <v/>
      </c>
      <c r="Z160" s="119" t="str">
        <f>IF('Temperature in bundle'!$P$4="Current = 1A per pair",2,IF($A160="","",('Temperature in bundle'!$Q$6-('Temperature in bundle'!$Q$6^2-4*(Y160+AA$7)*'Temperature in bundle'!$Q$7)^0.5)/2/(Y160+AA$7)))</f>
        <v/>
      </c>
      <c r="AA160" s="98" t="str">
        <f t="shared" si="52"/>
        <v/>
      </c>
      <c r="AB160" s="101" t="str">
        <f t="shared" si="58"/>
        <v/>
      </c>
    </row>
    <row r="161" spans="1:28">
      <c r="A161" t="str">
        <f t="shared" si="59"/>
        <v/>
      </c>
      <c r="B161" s="113">
        <v>-4</v>
      </c>
      <c r="C161" s="113">
        <f>SQRT(3)/2*4</f>
        <v>3.4641016151377544</v>
      </c>
      <c r="D161" s="113">
        <f t="shared" si="61"/>
        <v>5.2915026221291814</v>
      </c>
      <c r="E161" s="113" t="str">
        <f t="shared" si="53"/>
        <v/>
      </c>
      <c r="F161" s="113" t="str">
        <f t="shared" si="53"/>
        <v/>
      </c>
      <c r="G161" s="113" t="str">
        <f t="shared" si="60"/>
        <v/>
      </c>
      <c r="J161" s="116" t="str">
        <f t="shared" si="54"/>
        <v/>
      </c>
      <c r="K161" s="119" t="str">
        <f t="shared" si="45"/>
        <v/>
      </c>
      <c r="L161" s="98" t="str">
        <f t="shared" si="46"/>
        <v/>
      </c>
      <c r="M161" s="101" t="str">
        <f t="shared" si="55"/>
        <v/>
      </c>
      <c r="O161" s="100" t="str">
        <f t="shared" si="47"/>
        <v/>
      </c>
      <c r="P161" s="119" t="str">
        <f>IF('Temperature in bundle'!$P$4="Current = 1A per pair",2,IF($A161="","",('Temperature in bundle'!$Q$6-('Temperature in bundle'!$Q$6^2-4*(O161+Q$7)*'Temperature in bundle'!$Q$7)^0.5)/2/(O161+Q$7)))</f>
        <v/>
      </c>
      <c r="Q161" s="98" t="str">
        <f t="shared" si="48"/>
        <v/>
      </c>
      <c r="R161" s="101" t="str">
        <f t="shared" si="56"/>
        <v/>
      </c>
      <c r="T161" s="100" t="str">
        <f t="shared" si="49"/>
        <v/>
      </c>
      <c r="U161" s="119" t="str">
        <f>IF('Temperature in bundle'!$P$4="Current = 1A per pair",2,IF($A161="","",('Temperature in bundle'!$Q$6-('Temperature in bundle'!$Q$6^2-4*(T161+V$7)*'Temperature in bundle'!$Q$7)^0.5)/2/(T161+V$7)))</f>
        <v/>
      </c>
      <c r="V161" s="98" t="str">
        <f t="shared" si="50"/>
        <v/>
      </c>
      <c r="W161" s="101" t="str">
        <f t="shared" si="57"/>
        <v/>
      </c>
      <c r="Y161" s="100" t="str">
        <f t="shared" si="51"/>
        <v/>
      </c>
      <c r="Z161" s="119" t="str">
        <f>IF('Temperature in bundle'!$P$4="Current = 1A per pair",2,IF($A161="","",('Temperature in bundle'!$Q$6-('Temperature in bundle'!$Q$6^2-4*(Y161+AA$7)*'Temperature in bundle'!$Q$7)^0.5)/2/(Y161+AA$7)))</f>
        <v/>
      </c>
      <c r="AA161" s="98" t="str">
        <f t="shared" si="52"/>
        <v/>
      </c>
      <c r="AB161" s="101" t="str">
        <f t="shared" si="58"/>
        <v/>
      </c>
    </row>
    <row r="162" spans="1:28">
      <c r="A162" t="str">
        <f t="shared" si="59"/>
        <v/>
      </c>
      <c r="B162" s="113">
        <v>-4.5</v>
      </c>
      <c r="C162" s="113">
        <f>SQRT(3)/2*3</f>
        <v>2.598076211353316</v>
      </c>
      <c r="D162" s="113">
        <f t="shared" si="61"/>
        <v>5.196152422706632</v>
      </c>
      <c r="E162" s="113" t="str">
        <f t="shared" si="53"/>
        <v/>
      </c>
      <c r="F162" s="113" t="str">
        <f t="shared" si="53"/>
        <v/>
      </c>
      <c r="G162" s="113" t="str">
        <f t="shared" si="60"/>
        <v/>
      </c>
      <c r="J162" s="116" t="str">
        <f t="shared" si="54"/>
        <v/>
      </c>
      <c r="K162" s="119" t="str">
        <f t="shared" si="45"/>
        <v/>
      </c>
      <c r="L162" s="98" t="str">
        <f t="shared" si="46"/>
        <v/>
      </c>
      <c r="M162" s="101" t="str">
        <f t="shared" si="55"/>
        <v/>
      </c>
      <c r="O162" s="100" t="str">
        <f t="shared" si="47"/>
        <v/>
      </c>
      <c r="P162" s="119" t="str">
        <f>IF('Temperature in bundle'!$P$4="Current = 1A per pair",2,IF($A162="","",('Temperature in bundle'!$Q$6-('Temperature in bundle'!$Q$6^2-4*(O162+Q$7)*'Temperature in bundle'!$Q$7)^0.5)/2/(O162+Q$7)))</f>
        <v/>
      </c>
      <c r="Q162" s="98" t="str">
        <f t="shared" si="48"/>
        <v/>
      </c>
      <c r="R162" s="101" t="str">
        <f t="shared" si="56"/>
        <v/>
      </c>
      <c r="T162" s="100" t="str">
        <f t="shared" si="49"/>
        <v/>
      </c>
      <c r="U162" s="119" t="str">
        <f>IF('Temperature in bundle'!$P$4="Current = 1A per pair",2,IF($A162="","",('Temperature in bundle'!$Q$6-('Temperature in bundle'!$Q$6^2-4*(T162+V$7)*'Temperature in bundle'!$Q$7)^0.5)/2/(T162+V$7)))</f>
        <v/>
      </c>
      <c r="V162" s="98" t="str">
        <f t="shared" si="50"/>
        <v/>
      </c>
      <c r="W162" s="101" t="str">
        <f t="shared" si="57"/>
        <v/>
      </c>
      <c r="Y162" s="100" t="str">
        <f t="shared" si="51"/>
        <v/>
      </c>
      <c r="Z162" s="119" t="str">
        <f>IF('Temperature in bundle'!$P$4="Current = 1A per pair",2,IF($A162="","",('Temperature in bundle'!$Q$6-('Temperature in bundle'!$Q$6^2-4*(Y162+AA$7)*'Temperature in bundle'!$Q$7)^0.5)/2/(Y162+AA$7)))</f>
        <v/>
      </c>
      <c r="AA162" s="98" t="str">
        <f t="shared" si="52"/>
        <v/>
      </c>
      <c r="AB162" s="101" t="str">
        <f t="shared" si="58"/>
        <v/>
      </c>
    </row>
    <row r="163" spans="1:28">
      <c r="A163" t="str">
        <f t="shared" si="59"/>
        <v/>
      </c>
      <c r="B163" s="113">
        <v>-5</v>
      </c>
      <c r="C163" s="113">
        <f>SQRT(3)/2*2</f>
        <v>1.7320508075688772</v>
      </c>
      <c r="D163" s="113">
        <f t="shared" si="61"/>
        <v>5.2915026221291814</v>
      </c>
      <c r="E163" s="113" t="str">
        <f t="shared" si="53"/>
        <v/>
      </c>
      <c r="F163" s="113" t="str">
        <f t="shared" si="53"/>
        <v/>
      </c>
      <c r="G163" s="113" t="str">
        <f t="shared" si="60"/>
        <v/>
      </c>
      <c r="J163" s="116" t="str">
        <f t="shared" si="54"/>
        <v/>
      </c>
      <c r="K163" s="119" t="str">
        <f t="shared" si="45"/>
        <v/>
      </c>
      <c r="L163" s="98" t="str">
        <f t="shared" si="46"/>
        <v/>
      </c>
      <c r="M163" s="101" t="str">
        <f t="shared" si="55"/>
        <v/>
      </c>
      <c r="O163" s="100" t="str">
        <f t="shared" si="47"/>
        <v/>
      </c>
      <c r="P163" s="119" t="str">
        <f>IF('Temperature in bundle'!$P$4="Current = 1A per pair",2,IF($A163="","",('Temperature in bundle'!$Q$6-('Temperature in bundle'!$Q$6^2-4*(O163+Q$7)*'Temperature in bundle'!$Q$7)^0.5)/2/(O163+Q$7)))</f>
        <v/>
      </c>
      <c r="Q163" s="98" t="str">
        <f t="shared" si="48"/>
        <v/>
      </c>
      <c r="R163" s="101" t="str">
        <f t="shared" si="56"/>
        <v/>
      </c>
      <c r="T163" s="100" t="str">
        <f t="shared" si="49"/>
        <v/>
      </c>
      <c r="U163" s="119" t="str">
        <f>IF('Temperature in bundle'!$P$4="Current = 1A per pair",2,IF($A163="","",('Temperature in bundle'!$Q$6-('Temperature in bundle'!$Q$6^2-4*(T163+V$7)*'Temperature in bundle'!$Q$7)^0.5)/2/(T163+V$7)))</f>
        <v/>
      </c>
      <c r="V163" s="98" t="str">
        <f t="shared" si="50"/>
        <v/>
      </c>
      <c r="W163" s="101" t="str">
        <f t="shared" si="57"/>
        <v/>
      </c>
      <c r="Y163" s="100" t="str">
        <f t="shared" si="51"/>
        <v/>
      </c>
      <c r="Z163" s="119" t="str">
        <f>IF('Temperature in bundle'!$P$4="Current = 1A per pair",2,IF($A163="","",('Temperature in bundle'!$Q$6-('Temperature in bundle'!$Q$6^2-4*(Y163+AA$7)*'Temperature in bundle'!$Q$7)^0.5)/2/(Y163+AA$7)))</f>
        <v/>
      </c>
      <c r="AA163" s="98" t="str">
        <f t="shared" si="52"/>
        <v/>
      </c>
      <c r="AB163" s="101" t="str">
        <f t="shared" si="58"/>
        <v/>
      </c>
    </row>
    <row r="164" spans="1:28">
      <c r="A164" t="str">
        <f t="shared" si="59"/>
        <v/>
      </c>
      <c r="B164" s="113">
        <v>-5.5</v>
      </c>
      <c r="C164" s="113">
        <f>SQRT(3)/2*1</f>
        <v>0.8660254037844386</v>
      </c>
      <c r="D164" s="113">
        <f t="shared" si="61"/>
        <v>5.5677643628300215</v>
      </c>
      <c r="E164" s="113" t="str">
        <f t="shared" si="53"/>
        <v/>
      </c>
      <c r="F164" s="113" t="str">
        <f t="shared" si="53"/>
        <v/>
      </c>
      <c r="G164" s="113" t="str">
        <f t="shared" si="60"/>
        <v/>
      </c>
      <c r="J164" s="116" t="str">
        <f t="shared" si="54"/>
        <v/>
      </c>
      <c r="K164" s="119" t="str">
        <f t="shared" si="45"/>
        <v/>
      </c>
      <c r="L164" s="98" t="str">
        <f t="shared" si="46"/>
        <v/>
      </c>
      <c r="M164" s="101" t="str">
        <f t="shared" si="55"/>
        <v/>
      </c>
      <c r="O164" s="100" t="str">
        <f t="shared" si="47"/>
        <v/>
      </c>
      <c r="P164" s="119" t="str">
        <f>IF('Temperature in bundle'!$P$4="Current = 1A per pair",2,IF($A164="","",('Temperature in bundle'!$Q$6-('Temperature in bundle'!$Q$6^2-4*(O164+Q$7)*'Temperature in bundle'!$Q$7)^0.5)/2/(O164+Q$7)))</f>
        <v/>
      </c>
      <c r="Q164" s="98" t="str">
        <f t="shared" si="48"/>
        <v/>
      </c>
      <c r="R164" s="101" t="str">
        <f t="shared" si="56"/>
        <v/>
      </c>
      <c r="T164" s="100" t="str">
        <f t="shared" si="49"/>
        <v/>
      </c>
      <c r="U164" s="119" t="str">
        <f>IF('Temperature in bundle'!$P$4="Current = 1A per pair",2,IF($A164="","",('Temperature in bundle'!$Q$6-('Temperature in bundle'!$Q$6^2-4*(T164+V$7)*'Temperature in bundle'!$Q$7)^0.5)/2/(T164+V$7)))</f>
        <v/>
      </c>
      <c r="V164" s="98" t="str">
        <f t="shared" si="50"/>
        <v/>
      </c>
      <c r="W164" s="101" t="str">
        <f t="shared" si="57"/>
        <v/>
      </c>
      <c r="Y164" s="100" t="str">
        <f t="shared" si="51"/>
        <v/>
      </c>
      <c r="Z164" s="119" t="str">
        <f>IF('Temperature in bundle'!$P$4="Current = 1A per pair",2,IF($A164="","",('Temperature in bundle'!$Q$6-('Temperature in bundle'!$Q$6^2-4*(Y164+AA$7)*'Temperature in bundle'!$Q$7)^0.5)/2/(Y164+AA$7)))</f>
        <v/>
      </c>
      <c r="AA164" s="98" t="str">
        <f t="shared" si="52"/>
        <v/>
      </c>
      <c r="AB164" s="101" t="str">
        <f t="shared" si="58"/>
        <v/>
      </c>
    </row>
    <row r="165" spans="1:28">
      <c r="A165" t="str">
        <f t="shared" si="59"/>
        <v/>
      </c>
      <c r="B165" s="113">
        <v>-6</v>
      </c>
      <c r="C165" s="113">
        <v>0</v>
      </c>
      <c r="D165" s="113">
        <f t="shared" si="61"/>
        <v>6</v>
      </c>
      <c r="E165" s="113" t="str">
        <f t="shared" si="53"/>
        <v/>
      </c>
      <c r="F165" s="113" t="str">
        <f t="shared" si="53"/>
        <v/>
      </c>
      <c r="G165" s="113" t="str">
        <f t="shared" si="60"/>
        <v/>
      </c>
      <c r="J165" s="116" t="str">
        <f t="shared" si="54"/>
        <v/>
      </c>
      <c r="K165" s="119" t="str">
        <f t="shared" si="45"/>
        <v/>
      </c>
      <c r="L165" s="98" t="str">
        <f t="shared" si="46"/>
        <v/>
      </c>
      <c r="M165" s="101" t="str">
        <f t="shared" si="55"/>
        <v/>
      </c>
      <c r="O165" s="100" t="str">
        <f t="shared" si="47"/>
        <v/>
      </c>
      <c r="P165" s="119" t="str">
        <f>IF('Temperature in bundle'!$P$4="Current = 1A per pair",2,IF($A165="","",('Temperature in bundle'!$Q$6-('Temperature in bundle'!$Q$6^2-4*(O165+Q$7)*'Temperature in bundle'!$Q$7)^0.5)/2/(O165+Q$7)))</f>
        <v/>
      </c>
      <c r="Q165" s="98" t="str">
        <f t="shared" si="48"/>
        <v/>
      </c>
      <c r="R165" s="101" t="str">
        <f t="shared" si="56"/>
        <v/>
      </c>
      <c r="T165" s="100" t="str">
        <f t="shared" si="49"/>
        <v/>
      </c>
      <c r="U165" s="119" t="str">
        <f>IF('Temperature in bundle'!$P$4="Current = 1A per pair",2,IF($A165="","",('Temperature in bundle'!$Q$6-('Temperature in bundle'!$Q$6^2-4*(T165+V$7)*'Temperature in bundle'!$Q$7)^0.5)/2/(T165+V$7)))</f>
        <v/>
      </c>
      <c r="V165" s="98" t="str">
        <f t="shared" si="50"/>
        <v/>
      </c>
      <c r="W165" s="101" t="str">
        <f t="shared" si="57"/>
        <v/>
      </c>
      <c r="Y165" s="100" t="str">
        <f t="shared" si="51"/>
        <v/>
      </c>
      <c r="Z165" s="119" t="str">
        <f>IF('Temperature in bundle'!$P$4="Current = 1A per pair",2,IF($A165="","",('Temperature in bundle'!$Q$6-('Temperature in bundle'!$Q$6^2-4*(Y165+AA$7)*'Temperature in bundle'!$Q$7)^0.5)/2/(Y165+AA$7)))</f>
        <v/>
      </c>
      <c r="AA165" s="98" t="str">
        <f t="shared" si="52"/>
        <v/>
      </c>
      <c r="AB165" s="101" t="str">
        <f t="shared" si="58"/>
        <v/>
      </c>
    </row>
    <row r="166" spans="1:28">
      <c r="A166" t="str">
        <f t="shared" si="59"/>
        <v/>
      </c>
      <c r="B166" s="113">
        <v>-5.5</v>
      </c>
      <c r="C166" s="113">
        <f>(SQRT(3)/2)*-1</f>
        <v>-0.8660254037844386</v>
      </c>
      <c r="D166" s="113">
        <f t="shared" si="61"/>
        <v>5.5677643628300215</v>
      </c>
      <c r="E166" s="113" t="str">
        <f t="shared" si="53"/>
        <v/>
      </c>
      <c r="F166" s="113" t="str">
        <f t="shared" si="53"/>
        <v/>
      </c>
      <c r="G166" s="113" t="str">
        <f t="shared" si="60"/>
        <v/>
      </c>
      <c r="J166" s="116" t="str">
        <f t="shared" si="54"/>
        <v/>
      </c>
      <c r="K166" s="119" t="str">
        <f t="shared" si="45"/>
        <v/>
      </c>
      <c r="L166" s="98" t="str">
        <f t="shared" si="46"/>
        <v/>
      </c>
      <c r="M166" s="101" t="str">
        <f t="shared" si="55"/>
        <v/>
      </c>
      <c r="O166" s="100" t="str">
        <f t="shared" si="47"/>
        <v/>
      </c>
      <c r="P166" s="119" t="str">
        <f>IF('Temperature in bundle'!$P$4="Current = 1A per pair",2,IF($A166="","",('Temperature in bundle'!$Q$6-('Temperature in bundle'!$Q$6^2-4*(O166+Q$7)*'Temperature in bundle'!$Q$7)^0.5)/2/(O166+Q$7)))</f>
        <v/>
      </c>
      <c r="Q166" s="98" t="str">
        <f t="shared" si="48"/>
        <v/>
      </c>
      <c r="R166" s="101" t="str">
        <f t="shared" si="56"/>
        <v/>
      </c>
      <c r="T166" s="100" t="str">
        <f t="shared" si="49"/>
        <v/>
      </c>
      <c r="U166" s="119" t="str">
        <f>IF('Temperature in bundle'!$P$4="Current = 1A per pair",2,IF($A166="","",('Temperature in bundle'!$Q$6-('Temperature in bundle'!$Q$6^2-4*(T166+V$7)*'Temperature in bundle'!$Q$7)^0.5)/2/(T166+V$7)))</f>
        <v/>
      </c>
      <c r="V166" s="98" t="str">
        <f t="shared" si="50"/>
        <v/>
      </c>
      <c r="W166" s="101" t="str">
        <f t="shared" si="57"/>
        <v/>
      </c>
      <c r="Y166" s="100" t="str">
        <f t="shared" si="51"/>
        <v/>
      </c>
      <c r="Z166" s="119" t="str">
        <f>IF('Temperature in bundle'!$P$4="Current = 1A per pair",2,IF($A166="","",('Temperature in bundle'!$Q$6-('Temperature in bundle'!$Q$6^2-4*(Y166+AA$7)*'Temperature in bundle'!$Q$7)^0.5)/2/(Y166+AA$7)))</f>
        <v/>
      </c>
      <c r="AA166" s="98" t="str">
        <f t="shared" si="52"/>
        <v/>
      </c>
      <c r="AB166" s="101" t="str">
        <f t="shared" si="58"/>
        <v/>
      </c>
    </row>
    <row r="167" spans="1:28">
      <c r="A167" t="str">
        <f t="shared" si="59"/>
        <v/>
      </c>
      <c r="B167" s="113">
        <v>-5</v>
      </c>
      <c r="C167" s="113">
        <f>(SQRT(3)/2)*-2</f>
        <v>-1.7320508075688772</v>
      </c>
      <c r="D167" s="113">
        <f t="shared" si="61"/>
        <v>5.2915026221291814</v>
      </c>
      <c r="E167" s="113" t="str">
        <f t="shared" si="53"/>
        <v/>
      </c>
      <c r="F167" s="113" t="str">
        <f t="shared" si="53"/>
        <v/>
      </c>
      <c r="G167" s="113" t="str">
        <f t="shared" si="60"/>
        <v/>
      </c>
      <c r="J167" s="116" t="str">
        <f t="shared" si="54"/>
        <v/>
      </c>
      <c r="K167" s="119" t="str">
        <f t="shared" si="45"/>
        <v/>
      </c>
      <c r="L167" s="98" t="str">
        <f t="shared" si="46"/>
        <v/>
      </c>
      <c r="M167" s="101" t="str">
        <f t="shared" si="55"/>
        <v/>
      </c>
      <c r="O167" s="100" t="str">
        <f t="shared" si="47"/>
        <v/>
      </c>
      <c r="P167" s="119" t="str">
        <f>IF('Temperature in bundle'!$P$4="Current = 1A per pair",2,IF($A167="","",('Temperature in bundle'!$Q$6-('Temperature in bundle'!$Q$6^2-4*(O167+Q$7)*'Temperature in bundle'!$Q$7)^0.5)/2/(O167+Q$7)))</f>
        <v/>
      </c>
      <c r="Q167" s="98" t="str">
        <f t="shared" si="48"/>
        <v/>
      </c>
      <c r="R167" s="101" t="str">
        <f t="shared" si="56"/>
        <v/>
      </c>
      <c r="T167" s="100" t="str">
        <f t="shared" si="49"/>
        <v/>
      </c>
      <c r="U167" s="119" t="str">
        <f>IF('Temperature in bundle'!$P$4="Current = 1A per pair",2,IF($A167="","",('Temperature in bundle'!$Q$6-('Temperature in bundle'!$Q$6^2-4*(T167+V$7)*'Temperature in bundle'!$Q$7)^0.5)/2/(T167+V$7)))</f>
        <v/>
      </c>
      <c r="V167" s="98" t="str">
        <f t="shared" si="50"/>
        <v/>
      </c>
      <c r="W167" s="101" t="str">
        <f t="shared" si="57"/>
        <v/>
      </c>
      <c r="Y167" s="100" t="str">
        <f t="shared" si="51"/>
        <v/>
      </c>
      <c r="Z167" s="119" t="str">
        <f>IF('Temperature in bundle'!$P$4="Current = 1A per pair",2,IF($A167="","",('Temperature in bundle'!$Q$6-('Temperature in bundle'!$Q$6^2-4*(Y167+AA$7)*'Temperature in bundle'!$Q$7)^0.5)/2/(Y167+AA$7)))</f>
        <v/>
      </c>
      <c r="AA167" s="98" t="str">
        <f t="shared" si="52"/>
        <v/>
      </c>
      <c r="AB167" s="101" t="str">
        <f t="shared" si="58"/>
        <v/>
      </c>
    </row>
    <row r="168" spans="1:28">
      <c r="A168" t="str">
        <f t="shared" si="59"/>
        <v/>
      </c>
      <c r="B168" s="113">
        <v>-4.5</v>
      </c>
      <c r="C168" s="113">
        <f>(SQRT(3)/2)*-3</f>
        <v>-2.598076211353316</v>
      </c>
      <c r="D168" s="113">
        <f t="shared" si="61"/>
        <v>5.196152422706632</v>
      </c>
      <c r="E168" s="113" t="str">
        <f t="shared" si="53"/>
        <v/>
      </c>
      <c r="F168" s="113" t="str">
        <f t="shared" si="53"/>
        <v/>
      </c>
      <c r="G168" s="113" t="str">
        <f t="shared" si="60"/>
        <v/>
      </c>
      <c r="J168" s="116" t="str">
        <f t="shared" si="54"/>
        <v/>
      </c>
      <c r="K168" s="119" t="str">
        <f t="shared" si="45"/>
        <v/>
      </c>
      <c r="L168" s="98" t="str">
        <f t="shared" si="46"/>
        <v/>
      </c>
      <c r="M168" s="101" t="str">
        <f t="shared" si="55"/>
        <v/>
      </c>
      <c r="O168" s="100" t="str">
        <f t="shared" si="47"/>
        <v/>
      </c>
      <c r="P168" s="119" t="str">
        <f>IF('Temperature in bundle'!$P$4="Current = 1A per pair",2,IF($A168="","",('Temperature in bundle'!$Q$6-('Temperature in bundle'!$Q$6^2-4*(O168+Q$7)*'Temperature in bundle'!$Q$7)^0.5)/2/(O168+Q$7)))</f>
        <v/>
      </c>
      <c r="Q168" s="98" t="str">
        <f t="shared" si="48"/>
        <v/>
      </c>
      <c r="R168" s="101" t="str">
        <f t="shared" si="56"/>
        <v/>
      </c>
      <c r="T168" s="100" t="str">
        <f t="shared" si="49"/>
        <v/>
      </c>
      <c r="U168" s="119" t="str">
        <f>IF('Temperature in bundle'!$P$4="Current = 1A per pair",2,IF($A168="","",('Temperature in bundle'!$Q$6-('Temperature in bundle'!$Q$6^2-4*(T168+V$7)*'Temperature in bundle'!$Q$7)^0.5)/2/(T168+V$7)))</f>
        <v/>
      </c>
      <c r="V168" s="98" t="str">
        <f t="shared" si="50"/>
        <v/>
      </c>
      <c r="W168" s="101" t="str">
        <f t="shared" si="57"/>
        <v/>
      </c>
      <c r="Y168" s="100" t="str">
        <f t="shared" si="51"/>
        <v/>
      </c>
      <c r="Z168" s="119" t="str">
        <f>IF('Temperature in bundle'!$P$4="Current = 1A per pair",2,IF($A168="","",('Temperature in bundle'!$Q$6-('Temperature in bundle'!$Q$6^2-4*(Y168+AA$7)*'Temperature in bundle'!$Q$7)^0.5)/2/(Y168+AA$7)))</f>
        <v/>
      </c>
      <c r="AA168" s="98" t="str">
        <f t="shared" si="52"/>
        <v/>
      </c>
      <c r="AB168" s="101" t="str">
        <f t="shared" si="58"/>
        <v/>
      </c>
    </row>
    <row r="169" spans="1:28">
      <c r="A169" t="str">
        <f t="shared" si="59"/>
        <v/>
      </c>
      <c r="B169" s="113">
        <v>-4</v>
      </c>
      <c r="C169" s="113">
        <f>(SQRT(3)/2)*-4</f>
        <v>-3.4641016151377544</v>
      </c>
      <c r="D169" s="113">
        <f t="shared" si="61"/>
        <v>5.2915026221291814</v>
      </c>
      <c r="E169" s="113" t="str">
        <f t="shared" si="53"/>
        <v/>
      </c>
      <c r="F169" s="113" t="str">
        <f t="shared" si="53"/>
        <v/>
      </c>
      <c r="G169" s="113" t="str">
        <f t="shared" si="60"/>
        <v/>
      </c>
      <c r="J169" s="116" t="str">
        <f t="shared" si="54"/>
        <v/>
      </c>
      <c r="K169" s="119" t="str">
        <f t="shared" si="45"/>
        <v/>
      </c>
      <c r="L169" s="98" t="str">
        <f t="shared" si="46"/>
        <v/>
      </c>
      <c r="M169" s="101" t="str">
        <f t="shared" si="55"/>
        <v/>
      </c>
      <c r="O169" s="100" t="str">
        <f t="shared" si="47"/>
        <v/>
      </c>
      <c r="P169" s="119" t="str">
        <f>IF('Temperature in bundle'!$P$4="Current = 1A per pair",2,IF($A169="","",('Temperature in bundle'!$Q$6-('Temperature in bundle'!$Q$6^2-4*(O169+Q$7)*'Temperature in bundle'!$Q$7)^0.5)/2/(O169+Q$7)))</f>
        <v/>
      </c>
      <c r="Q169" s="98" t="str">
        <f t="shared" si="48"/>
        <v/>
      </c>
      <c r="R169" s="101" t="str">
        <f t="shared" si="56"/>
        <v/>
      </c>
      <c r="T169" s="100" t="str">
        <f t="shared" si="49"/>
        <v/>
      </c>
      <c r="U169" s="119" t="str">
        <f>IF('Temperature in bundle'!$P$4="Current = 1A per pair",2,IF($A169="","",('Temperature in bundle'!$Q$6-('Temperature in bundle'!$Q$6^2-4*(T169+V$7)*'Temperature in bundle'!$Q$7)^0.5)/2/(T169+V$7)))</f>
        <v/>
      </c>
      <c r="V169" s="98" t="str">
        <f t="shared" si="50"/>
        <v/>
      </c>
      <c r="W169" s="101" t="str">
        <f t="shared" si="57"/>
        <v/>
      </c>
      <c r="Y169" s="100" t="str">
        <f t="shared" si="51"/>
        <v/>
      </c>
      <c r="Z169" s="119" t="str">
        <f>IF('Temperature in bundle'!$P$4="Current = 1A per pair",2,IF($A169="","",('Temperature in bundle'!$Q$6-('Temperature in bundle'!$Q$6^2-4*(Y169+AA$7)*'Temperature in bundle'!$Q$7)^0.5)/2/(Y169+AA$7)))</f>
        <v/>
      </c>
      <c r="AA169" s="98" t="str">
        <f t="shared" si="52"/>
        <v/>
      </c>
      <c r="AB169" s="101" t="str">
        <f t="shared" si="58"/>
        <v/>
      </c>
    </row>
    <row r="170" spans="1:28">
      <c r="A170" t="str">
        <f t="shared" si="59"/>
        <v/>
      </c>
      <c r="B170" s="113">
        <v>-3.5</v>
      </c>
      <c r="C170" s="113">
        <f>(SQRT(3)/2)*-5</f>
        <v>-4.3301270189221928</v>
      </c>
      <c r="D170" s="113">
        <f t="shared" si="61"/>
        <v>5.5677643628300215</v>
      </c>
      <c r="E170" s="113" t="str">
        <f t="shared" si="53"/>
        <v/>
      </c>
      <c r="F170" s="113" t="str">
        <f t="shared" si="53"/>
        <v/>
      </c>
      <c r="G170" s="113" t="str">
        <f t="shared" si="60"/>
        <v/>
      </c>
      <c r="J170" s="116" t="str">
        <f t="shared" si="54"/>
        <v/>
      </c>
      <c r="K170" s="119" t="str">
        <f t="shared" si="45"/>
        <v/>
      </c>
      <c r="L170" s="98" t="str">
        <f t="shared" si="46"/>
        <v/>
      </c>
      <c r="M170" s="101" t="str">
        <f t="shared" si="55"/>
        <v/>
      </c>
      <c r="O170" s="100" t="str">
        <f t="shared" si="47"/>
        <v/>
      </c>
      <c r="P170" s="119" t="str">
        <f>IF('Temperature in bundle'!$P$4="Current = 1A per pair",2,IF($A170="","",('Temperature in bundle'!$Q$6-('Temperature in bundle'!$Q$6^2-4*(O170+Q$7)*'Temperature in bundle'!$Q$7)^0.5)/2/(O170+Q$7)))</f>
        <v/>
      </c>
      <c r="Q170" s="98" t="str">
        <f t="shared" si="48"/>
        <v/>
      </c>
      <c r="R170" s="101" t="str">
        <f t="shared" si="56"/>
        <v/>
      </c>
      <c r="T170" s="100" t="str">
        <f t="shared" si="49"/>
        <v/>
      </c>
      <c r="U170" s="119" t="str">
        <f>IF('Temperature in bundle'!$P$4="Current = 1A per pair",2,IF($A170="","",('Temperature in bundle'!$Q$6-('Temperature in bundle'!$Q$6^2-4*(T170+V$7)*'Temperature in bundle'!$Q$7)^0.5)/2/(T170+V$7)))</f>
        <v/>
      </c>
      <c r="V170" s="98" t="str">
        <f t="shared" si="50"/>
        <v/>
      </c>
      <c r="W170" s="101" t="str">
        <f t="shared" si="57"/>
        <v/>
      </c>
      <c r="Y170" s="100" t="str">
        <f t="shared" si="51"/>
        <v/>
      </c>
      <c r="Z170" s="119" t="str">
        <f>IF('Temperature in bundle'!$P$4="Current = 1A per pair",2,IF($A170="","",('Temperature in bundle'!$Q$6-('Temperature in bundle'!$Q$6^2-4*(Y170+AA$7)*'Temperature in bundle'!$Q$7)^0.5)/2/(Y170+AA$7)))</f>
        <v/>
      </c>
      <c r="AA170" s="98" t="str">
        <f t="shared" si="52"/>
        <v/>
      </c>
      <c r="AB170" s="101" t="str">
        <f t="shared" si="58"/>
        <v/>
      </c>
    </row>
    <row r="171" spans="1:28">
      <c r="A171" t="str">
        <f t="shared" si="59"/>
        <v/>
      </c>
      <c r="B171" s="113">
        <v>-3</v>
      </c>
      <c r="C171" s="113">
        <f>(SQRT(3)/2)*-6</f>
        <v>-5.196152422706632</v>
      </c>
      <c r="D171" s="113">
        <f t="shared" si="61"/>
        <v>6</v>
      </c>
      <c r="E171" s="113" t="str">
        <f t="shared" si="53"/>
        <v/>
      </c>
      <c r="F171" s="113" t="str">
        <f t="shared" si="53"/>
        <v/>
      </c>
      <c r="G171" s="113" t="str">
        <f t="shared" si="60"/>
        <v/>
      </c>
      <c r="J171" s="116" t="str">
        <f t="shared" si="54"/>
        <v/>
      </c>
      <c r="K171" s="119" t="str">
        <f t="shared" si="45"/>
        <v/>
      </c>
      <c r="L171" s="98" t="str">
        <f t="shared" si="46"/>
        <v/>
      </c>
      <c r="M171" s="101" t="str">
        <f t="shared" si="55"/>
        <v/>
      </c>
      <c r="O171" s="100" t="str">
        <f t="shared" si="47"/>
        <v/>
      </c>
      <c r="P171" s="119" t="str">
        <f>IF('Temperature in bundle'!$P$4="Current = 1A per pair",2,IF($A171="","",('Temperature in bundle'!$Q$6-('Temperature in bundle'!$Q$6^2-4*(O171+Q$7)*'Temperature in bundle'!$Q$7)^0.5)/2/(O171+Q$7)))</f>
        <v/>
      </c>
      <c r="Q171" s="98" t="str">
        <f t="shared" si="48"/>
        <v/>
      </c>
      <c r="R171" s="101" t="str">
        <f t="shared" si="56"/>
        <v/>
      </c>
      <c r="T171" s="100" t="str">
        <f t="shared" si="49"/>
        <v/>
      </c>
      <c r="U171" s="119" t="str">
        <f>IF('Temperature in bundle'!$P$4="Current = 1A per pair",2,IF($A171="","",('Temperature in bundle'!$Q$6-('Temperature in bundle'!$Q$6^2-4*(T171+V$7)*'Temperature in bundle'!$Q$7)^0.5)/2/(T171+V$7)))</f>
        <v/>
      </c>
      <c r="V171" s="98" t="str">
        <f t="shared" si="50"/>
        <v/>
      </c>
      <c r="W171" s="101" t="str">
        <f t="shared" si="57"/>
        <v/>
      </c>
      <c r="Y171" s="100" t="str">
        <f t="shared" si="51"/>
        <v/>
      </c>
      <c r="Z171" s="119" t="str">
        <f>IF('Temperature in bundle'!$P$4="Current = 1A per pair",2,IF($A171="","",('Temperature in bundle'!$Q$6-('Temperature in bundle'!$Q$6^2-4*(Y171+AA$7)*'Temperature in bundle'!$Q$7)^0.5)/2/(Y171+AA$7)))</f>
        <v/>
      </c>
      <c r="AA171" s="98" t="str">
        <f t="shared" si="52"/>
        <v/>
      </c>
      <c r="AB171" s="101" t="str">
        <f t="shared" si="58"/>
        <v/>
      </c>
    </row>
    <row r="172" spans="1:28">
      <c r="A172" t="str">
        <f t="shared" si="59"/>
        <v/>
      </c>
      <c r="B172" s="113">
        <v>-2</v>
      </c>
      <c r="C172" s="113">
        <f t="shared" ref="C172:C177" si="67">(SQRT(3)/2)*-6</f>
        <v>-5.196152422706632</v>
      </c>
      <c r="D172" s="113">
        <f t="shared" si="61"/>
        <v>5.5677643628300215</v>
      </c>
      <c r="E172" s="113" t="str">
        <f t="shared" si="53"/>
        <v/>
      </c>
      <c r="F172" s="113" t="str">
        <f t="shared" si="53"/>
        <v/>
      </c>
      <c r="G172" s="113" t="str">
        <f t="shared" si="60"/>
        <v/>
      </c>
      <c r="J172" s="116" t="str">
        <f t="shared" si="54"/>
        <v/>
      </c>
      <c r="K172" s="119" t="str">
        <f t="shared" si="45"/>
        <v/>
      </c>
      <c r="L172" s="98" t="str">
        <f t="shared" si="46"/>
        <v/>
      </c>
      <c r="M172" s="101" t="str">
        <f t="shared" si="55"/>
        <v/>
      </c>
      <c r="O172" s="100" t="str">
        <f t="shared" si="47"/>
        <v/>
      </c>
      <c r="P172" s="119" t="str">
        <f>IF('Temperature in bundle'!$P$4="Current = 1A per pair",2,IF($A172="","",('Temperature in bundle'!$Q$6-('Temperature in bundle'!$Q$6^2-4*(O172+Q$7)*'Temperature in bundle'!$Q$7)^0.5)/2/(O172+Q$7)))</f>
        <v/>
      </c>
      <c r="Q172" s="98" t="str">
        <f t="shared" si="48"/>
        <v/>
      </c>
      <c r="R172" s="101" t="str">
        <f t="shared" si="56"/>
        <v/>
      </c>
      <c r="T172" s="100" t="str">
        <f t="shared" si="49"/>
        <v/>
      </c>
      <c r="U172" s="119" t="str">
        <f>IF('Temperature in bundle'!$P$4="Current = 1A per pair",2,IF($A172="","",('Temperature in bundle'!$Q$6-('Temperature in bundle'!$Q$6^2-4*(T172+V$7)*'Temperature in bundle'!$Q$7)^0.5)/2/(T172+V$7)))</f>
        <v/>
      </c>
      <c r="V172" s="98" t="str">
        <f t="shared" si="50"/>
        <v/>
      </c>
      <c r="W172" s="101" t="str">
        <f t="shared" si="57"/>
        <v/>
      </c>
      <c r="Y172" s="100" t="str">
        <f t="shared" si="51"/>
        <v/>
      </c>
      <c r="Z172" s="119" t="str">
        <f>IF('Temperature in bundle'!$P$4="Current = 1A per pair",2,IF($A172="","",('Temperature in bundle'!$Q$6-('Temperature in bundle'!$Q$6^2-4*(Y172+AA$7)*'Temperature in bundle'!$Q$7)^0.5)/2/(Y172+AA$7)))</f>
        <v/>
      </c>
      <c r="AA172" s="98" t="str">
        <f t="shared" si="52"/>
        <v/>
      </c>
      <c r="AB172" s="101" t="str">
        <f t="shared" si="58"/>
        <v/>
      </c>
    </row>
    <row r="173" spans="1:28">
      <c r="A173" t="str">
        <f t="shared" si="59"/>
        <v/>
      </c>
      <c r="B173" s="113">
        <v>-1</v>
      </c>
      <c r="C173" s="113">
        <f t="shared" si="67"/>
        <v>-5.196152422706632</v>
      </c>
      <c r="D173" s="113">
        <f t="shared" si="61"/>
        <v>5.2915026221291814</v>
      </c>
      <c r="E173" s="113" t="str">
        <f t="shared" si="53"/>
        <v/>
      </c>
      <c r="F173" s="113" t="str">
        <f t="shared" si="53"/>
        <v/>
      </c>
      <c r="G173" s="113" t="str">
        <f t="shared" si="60"/>
        <v/>
      </c>
      <c r="J173" s="116" t="str">
        <f t="shared" si="54"/>
        <v/>
      </c>
      <c r="K173" s="119" t="str">
        <f t="shared" si="45"/>
        <v/>
      </c>
      <c r="L173" s="98" t="str">
        <f t="shared" si="46"/>
        <v/>
      </c>
      <c r="M173" s="101" t="str">
        <f t="shared" si="55"/>
        <v/>
      </c>
      <c r="O173" s="100" t="str">
        <f t="shared" si="47"/>
        <v/>
      </c>
      <c r="P173" s="119" t="str">
        <f>IF('Temperature in bundle'!$P$4="Current = 1A per pair",2,IF($A173="","",('Temperature in bundle'!$Q$6-('Temperature in bundle'!$Q$6^2-4*(O173+Q$7)*'Temperature in bundle'!$Q$7)^0.5)/2/(O173+Q$7)))</f>
        <v/>
      </c>
      <c r="Q173" s="98" t="str">
        <f t="shared" si="48"/>
        <v/>
      </c>
      <c r="R173" s="101" t="str">
        <f t="shared" si="56"/>
        <v/>
      </c>
      <c r="T173" s="100" t="str">
        <f t="shared" si="49"/>
        <v/>
      </c>
      <c r="U173" s="119" t="str">
        <f>IF('Temperature in bundle'!$P$4="Current = 1A per pair",2,IF($A173="","",('Temperature in bundle'!$Q$6-('Temperature in bundle'!$Q$6^2-4*(T173+V$7)*'Temperature in bundle'!$Q$7)^0.5)/2/(T173+V$7)))</f>
        <v/>
      </c>
      <c r="V173" s="98" t="str">
        <f t="shared" si="50"/>
        <v/>
      </c>
      <c r="W173" s="101" t="str">
        <f t="shared" si="57"/>
        <v/>
      </c>
      <c r="Y173" s="100" t="str">
        <f t="shared" si="51"/>
        <v/>
      </c>
      <c r="Z173" s="119" t="str">
        <f>IF('Temperature in bundle'!$P$4="Current = 1A per pair",2,IF($A173="","",('Temperature in bundle'!$Q$6-('Temperature in bundle'!$Q$6^2-4*(Y173+AA$7)*'Temperature in bundle'!$Q$7)^0.5)/2/(Y173+AA$7)))</f>
        <v/>
      </c>
      <c r="AA173" s="98" t="str">
        <f t="shared" si="52"/>
        <v/>
      </c>
      <c r="AB173" s="101" t="str">
        <f t="shared" si="58"/>
        <v/>
      </c>
    </row>
    <row r="174" spans="1:28">
      <c r="A174" t="str">
        <f t="shared" si="59"/>
        <v/>
      </c>
      <c r="B174" s="113">
        <v>0</v>
      </c>
      <c r="C174" s="113">
        <f t="shared" si="67"/>
        <v>-5.196152422706632</v>
      </c>
      <c r="D174" s="113">
        <f t="shared" si="61"/>
        <v>5.196152422706632</v>
      </c>
      <c r="E174" s="113" t="str">
        <f t="shared" si="53"/>
        <v/>
      </c>
      <c r="F174" s="113" t="str">
        <f t="shared" si="53"/>
        <v/>
      </c>
      <c r="G174" s="113" t="str">
        <f t="shared" si="60"/>
        <v/>
      </c>
      <c r="J174" s="116" t="str">
        <f t="shared" si="54"/>
        <v/>
      </c>
      <c r="K174" s="119" t="str">
        <f t="shared" si="45"/>
        <v/>
      </c>
      <c r="L174" s="98" t="str">
        <f t="shared" si="46"/>
        <v/>
      </c>
      <c r="M174" s="101" t="str">
        <f t="shared" si="55"/>
        <v/>
      </c>
      <c r="O174" s="100" t="str">
        <f t="shared" si="47"/>
        <v/>
      </c>
      <c r="P174" s="119" t="str">
        <f>IF('Temperature in bundle'!$P$4="Current = 1A per pair",2,IF($A174="","",('Temperature in bundle'!$Q$6-('Temperature in bundle'!$Q$6^2-4*(O174+Q$7)*'Temperature in bundle'!$Q$7)^0.5)/2/(O174+Q$7)))</f>
        <v/>
      </c>
      <c r="Q174" s="98" t="str">
        <f t="shared" si="48"/>
        <v/>
      </c>
      <c r="R174" s="101" t="str">
        <f t="shared" si="56"/>
        <v/>
      </c>
      <c r="T174" s="100" t="str">
        <f t="shared" si="49"/>
        <v/>
      </c>
      <c r="U174" s="119" t="str">
        <f>IF('Temperature in bundle'!$P$4="Current = 1A per pair",2,IF($A174="","",('Temperature in bundle'!$Q$6-('Temperature in bundle'!$Q$6^2-4*(T174+V$7)*'Temperature in bundle'!$Q$7)^0.5)/2/(T174+V$7)))</f>
        <v/>
      </c>
      <c r="V174" s="98" t="str">
        <f t="shared" si="50"/>
        <v/>
      </c>
      <c r="W174" s="101" t="str">
        <f t="shared" si="57"/>
        <v/>
      </c>
      <c r="Y174" s="100" t="str">
        <f t="shared" si="51"/>
        <v/>
      </c>
      <c r="Z174" s="119" t="str">
        <f>IF('Temperature in bundle'!$P$4="Current = 1A per pair",2,IF($A174="","",('Temperature in bundle'!$Q$6-('Temperature in bundle'!$Q$6^2-4*(Y174+AA$7)*'Temperature in bundle'!$Q$7)^0.5)/2/(Y174+AA$7)))</f>
        <v/>
      </c>
      <c r="AA174" s="98" t="str">
        <f t="shared" si="52"/>
        <v/>
      </c>
      <c r="AB174" s="101" t="str">
        <f t="shared" si="58"/>
        <v/>
      </c>
    </row>
    <row r="175" spans="1:28">
      <c r="A175" t="str">
        <f t="shared" si="59"/>
        <v/>
      </c>
      <c r="B175" s="113">
        <v>1</v>
      </c>
      <c r="C175" s="113">
        <f t="shared" si="67"/>
        <v>-5.196152422706632</v>
      </c>
      <c r="D175" s="113">
        <f t="shared" si="61"/>
        <v>5.2915026221291814</v>
      </c>
      <c r="E175" s="113" t="str">
        <f t="shared" si="53"/>
        <v/>
      </c>
      <c r="F175" s="113" t="str">
        <f t="shared" si="53"/>
        <v/>
      </c>
      <c r="G175" s="113" t="str">
        <f t="shared" si="60"/>
        <v/>
      </c>
      <c r="J175" s="116" t="str">
        <f t="shared" si="54"/>
        <v/>
      </c>
      <c r="K175" s="119" t="str">
        <f t="shared" si="45"/>
        <v/>
      </c>
      <c r="L175" s="98" t="str">
        <f t="shared" si="46"/>
        <v/>
      </c>
      <c r="M175" s="101" t="str">
        <f t="shared" si="55"/>
        <v/>
      </c>
      <c r="O175" s="100" t="str">
        <f t="shared" si="47"/>
        <v/>
      </c>
      <c r="P175" s="119" t="str">
        <f>IF('Temperature in bundle'!$P$4="Current = 1A per pair",2,IF($A175="","",('Temperature in bundle'!$Q$6-('Temperature in bundle'!$Q$6^2-4*(O175+Q$7)*'Temperature in bundle'!$Q$7)^0.5)/2/(O175+Q$7)))</f>
        <v/>
      </c>
      <c r="Q175" s="98" t="str">
        <f t="shared" si="48"/>
        <v/>
      </c>
      <c r="R175" s="101" t="str">
        <f t="shared" si="56"/>
        <v/>
      </c>
      <c r="T175" s="100" t="str">
        <f t="shared" si="49"/>
        <v/>
      </c>
      <c r="U175" s="119" t="str">
        <f>IF('Temperature in bundle'!$P$4="Current = 1A per pair",2,IF($A175="","",('Temperature in bundle'!$Q$6-('Temperature in bundle'!$Q$6^2-4*(T175+V$7)*'Temperature in bundle'!$Q$7)^0.5)/2/(T175+V$7)))</f>
        <v/>
      </c>
      <c r="V175" s="98" t="str">
        <f t="shared" si="50"/>
        <v/>
      </c>
      <c r="W175" s="101" t="str">
        <f t="shared" si="57"/>
        <v/>
      </c>
      <c r="Y175" s="100" t="str">
        <f t="shared" si="51"/>
        <v/>
      </c>
      <c r="Z175" s="119" t="str">
        <f>IF('Temperature in bundle'!$P$4="Current = 1A per pair",2,IF($A175="","",('Temperature in bundle'!$Q$6-('Temperature in bundle'!$Q$6^2-4*(Y175+AA$7)*'Temperature in bundle'!$Q$7)^0.5)/2/(Y175+AA$7)))</f>
        <v/>
      </c>
      <c r="AA175" s="98" t="str">
        <f t="shared" si="52"/>
        <v/>
      </c>
      <c r="AB175" s="101" t="str">
        <f t="shared" si="58"/>
        <v/>
      </c>
    </row>
    <row r="176" spans="1:28">
      <c r="A176" t="str">
        <f t="shared" si="59"/>
        <v/>
      </c>
      <c r="B176" s="113">
        <v>2</v>
      </c>
      <c r="C176" s="113">
        <f t="shared" si="67"/>
        <v>-5.196152422706632</v>
      </c>
      <c r="D176" s="113">
        <f t="shared" si="61"/>
        <v>5.5677643628300215</v>
      </c>
      <c r="E176" s="113" t="str">
        <f t="shared" si="53"/>
        <v/>
      </c>
      <c r="F176" s="113" t="str">
        <f t="shared" si="53"/>
        <v/>
      </c>
      <c r="G176" s="113" t="str">
        <f t="shared" si="60"/>
        <v/>
      </c>
      <c r="J176" s="116" t="str">
        <f t="shared" si="54"/>
        <v/>
      </c>
      <c r="K176" s="119" t="str">
        <f t="shared" si="45"/>
        <v/>
      </c>
      <c r="L176" s="98" t="str">
        <f t="shared" si="46"/>
        <v/>
      </c>
      <c r="M176" s="101" t="str">
        <f t="shared" si="55"/>
        <v/>
      </c>
      <c r="O176" s="100" t="str">
        <f t="shared" si="47"/>
        <v/>
      </c>
      <c r="P176" s="119" t="str">
        <f>IF('Temperature in bundle'!$P$4="Current = 1A per pair",2,IF($A176="","",('Temperature in bundle'!$Q$6-('Temperature in bundle'!$Q$6^2-4*(O176+Q$7)*'Temperature in bundle'!$Q$7)^0.5)/2/(O176+Q$7)))</f>
        <v/>
      </c>
      <c r="Q176" s="98" t="str">
        <f t="shared" si="48"/>
        <v/>
      </c>
      <c r="R176" s="101" t="str">
        <f t="shared" si="56"/>
        <v/>
      </c>
      <c r="T176" s="100" t="str">
        <f t="shared" si="49"/>
        <v/>
      </c>
      <c r="U176" s="119" t="str">
        <f>IF('Temperature in bundle'!$P$4="Current = 1A per pair",2,IF($A176="","",('Temperature in bundle'!$Q$6-('Temperature in bundle'!$Q$6^2-4*(T176+V$7)*'Temperature in bundle'!$Q$7)^0.5)/2/(T176+V$7)))</f>
        <v/>
      </c>
      <c r="V176" s="98" t="str">
        <f t="shared" si="50"/>
        <v/>
      </c>
      <c r="W176" s="101" t="str">
        <f t="shared" si="57"/>
        <v/>
      </c>
      <c r="Y176" s="100" t="str">
        <f t="shared" si="51"/>
        <v/>
      </c>
      <c r="Z176" s="119" t="str">
        <f>IF('Temperature in bundle'!$P$4="Current = 1A per pair",2,IF($A176="","",('Temperature in bundle'!$Q$6-('Temperature in bundle'!$Q$6^2-4*(Y176+AA$7)*'Temperature in bundle'!$Q$7)^0.5)/2/(Y176+AA$7)))</f>
        <v/>
      </c>
      <c r="AA176" s="98" t="str">
        <f t="shared" si="52"/>
        <v/>
      </c>
      <c r="AB176" s="101" t="str">
        <f t="shared" si="58"/>
        <v/>
      </c>
    </row>
    <row r="177" spans="1:28">
      <c r="A177" t="str">
        <f t="shared" si="59"/>
        <v/>
      </c>
      <c r="B177" s="113">
        <v>3</v>
      </c>
      <c r="C177" s="113">
        <f t="shared" si="67"/>
        <v>-5.196152422706632</v>
      </c>
      <c r="D177" s="113">
        <f t="shared" si="61"/>
        <v>6</v>
      </c>
      <c r="E177" s="113" t="str">
        <f t="shared" si="53"/>
        <v/>
      </c>
      <c r="F177" s="113" t="str">
        <f t="shared" si="53"/>
        <v/>
      </c>
      <c r="G177" s="113" t="str">
        <f t="shared" si="60"/>
        <v/>
      </c>
      <c r="J177" s="116" t="str">
        <f t="shared" si="54"/>
        <v/>
      </c>
      <c r="K177" s="119" t="str">
        <f t="shared" si="45"/>
        <v/>
      </c>
      <c r="L177" s="98" t="str">
        <f t="shared" si="46"/>
        <v/>
      </c>
      <c r="M177" s="101" t="str">
        <f t="shared" si="55"/>
        <v/>
      </c>
      <c r="O177" s="100" t="str">
        <f t="shared" si="47"/>
        <v/>
      </c>
      <c r="P177" s="119" t="str">
        <f>IF('Temperature in bundle'!$P$4="Current = 1A per pair",2,IF($A177="","",('Temperature in bundle'!$Q$6-('Temperature in bundle'!$Q$6^2-4*(O177+Q$7)*'Temperature in bundle'!$Q$7)^0.5)/2/(O177+Q$7)))</f>
        <v/>
      </c>
      <c r="Q177" s="98" t="str">
        <f t="shared" si="48"/>
        <v/>
      </c>
      <c r="R177" s="101" t="str">
        <f t="shared" si="56"/>
        <v/>
      </c>
      <c r="T177" s="100" t="str">
        <f t="shared" si="49"/>
        <v/>
      </c>
      <c r="U177" s="119" t="str">
        <f>IF('Temperature in bundle'!$P$4="Current = 1A per pair",2,IF($A177="","",('Temperature in bundle'!$Q$6-('Temperature in bundle'!$Q$6^2-4*(T177+V$7)*'Temperature in bundle'!$Q$7)^0.5)/2/(T177+V$7)))</f>
        <v/>
      </c>
      <c r="V177" s="98" t="str">
        <f t="shared" si="50"/>
        <v/>
      </c>
      <c r="W177" s="101" t="str">
        <f t="shared" si="57"/>
        <v/>
      </c>
      <c r="Y177" s="100" t="str">
        <f t="shared" si="51"/>
        <v/>
      </c>
      <c r="Z177" s="119" t="str">
        <f>IF('Temperature in bundle'!$P$4="Current = 1A per pair",2,IF($A177="","",('Temperature in bundle'!$Q$6-('Temperature in bundle'!$Q$6^2-4*(Y177+AA$7)*'Temperature in bundle'!$Q$7)^0.5)/2/(Y177+AA$7)))</f>
        <v/>
      </c>
      <c r="AA177" s="98" t="str">
        <f t="shared" si="52"/>
        <v/>
      </c>
      <c r="AB177" s="101" t="str">
        <f t="shared" si="58"/>
        <v/>
      </c>
    </row>
    <row r="178" spans="1:28">
      <c r="A178" t="str">
        <f t="shared" si="59"/>
        <v/>
      </c>
      <c r="B178" s="113">
        <v>5.5</v>
      </c>
      <c r="C178" s="113">
        <f>SQRT(3)/2*3</f>
        <v>2.598076211353316</v>
      </c>
      <c r="D178" s="113">
        <f t="shared" si="61"/>
        <v>6.0827625302982193</v>
      </c>
      <c r="E178" s="113" t="str">
        <f t="shared" si="53"/>
        <v/>
      </c>
      <c r="F178" s="113" t="str">
        <f t="shared" si="53"/>
        <v/>
      </c>
      <c r="G178" s="113" t="str">
        <f t="shared" si="60"/>
        <v/>
      </c>
      <c r="J178" s="116" t="str">
        <f t="shared" si="54"/>
        <v/>
      </c>
      <c r="K178" s="119" t="str">
        <f t="shared" si="45"/>
        <v/>
      </c>
      <c r="L178" s="98" t="str">
        <f t="shared" si="46"/>
        <v/>
      </c>
      <c r="M178" s="101" t="str">
        <f t="shared" si="55"/>
        <v/>
      </c>
      <c r="O178" s="100" t="str">
        <f t="shared" si="47"/>
        <v/>
      </c>
      <c r="P178" s="119" t="str">
        <f>IF('Temperature in bundle'!$P$4="Current = 1A per pair",2,IF($A178="","",('Temperature in bundle'!$Q$6-('Temperature in bundle'!$Q$6^2-4*(O178+Q$7)*'Temperature in bundle'!$Q$7)^0.5)/2/(O178+Q$7)))</f>
        <v/>
      </c>
      <c r="Q178" s="98" t="str">
        <f t="shared" si="48"/>
        <v/>
      </c>
      <c r="R178" s="101" t="str">
        <f t="shared" si="56"/>
        <v/>
      </c>
      <c r="T178" s="100" t="str">
        <f t="shared" si="49"/>
        <v/>
      </c>
      <c r="U178" s="119" t="str">
        <f>IF('Temperature in bundle'!$P$4="Current = 1A per pair",2,IF($A178="","",('Temperature in bundle'!$Q$6-('Temperature in bundle'!$Q$6^2-4*(T178+V$7)*'Temperature in bundle'!$Q$7)^0.5)/2/(T178+V$7)))</f>
        <v/>
      </c>
      <c r="V178" s="98" t="str">
        <f t="shared" si="50"/>
        <v/>
      </c>
      <c r="W178" s="101" t="str">
        <f t="shared" si="57"/>
        <v/>
      </c>
      <c r="Y178" s="100" t="str">
        <f t="shared" si="51"/>
        <v/>
      </c>
      <c r="Z178" s="119" t="str">
        <f>IF('Temperature in bundle'!$P$4="Current = 1A per pair",2,IF($A178="","",('Temperature in bundle'!$Q$6-('Temperature in bundle'!$Q$6^2-4*(Y178+AA$7)*'Temperature in bundle'!$Q$7)^0.5)/2/(Y178+AA$7)))</f>
        <v/>
      </c>
      <c r="AA178" s="98" t="str">
        <f t="shared" si="52"/>
        <v/>
      </c>
      <c r="AB178" s="101" t="str">
        <f t="shared" si="58"/>
        <v/>
      </c>
    </row>
    <row r="179" spans="1:28">
      <c r="A179" t="str">
        <f t="shared" si="59"/>
        <v/>
      </c>
      <c r="B179" s="113">
        <v>5</v>
      </c>
      <c r="C179" s="113">
        <f>SQRT(3)/2*4</f>
        <v>3.4641016151377544</v>
      </c>
      <c r="D179" s="113">
        <f t="shared" si="61"/>
        <v>6.0827625302982193</v>
      </c>
      <c r="E179" s="113" t="str">
        <f t="shared" si="53"/>
        <v/>
      </c>
      <c r="F179" s="113" t="str">
        <f t="shared" si="53"/>
        <v/>
      </c>
      <c r="G179" s="113" t="str">
        <f t="shared" si="60"/>
        <v/>
      </c>
      <c r="J179" s="116" t="str">
        <f t="shared" si="54"/>
        <v/>
      </c>
      <c r="K179" s="119" t="str">
        <f t="shared" ref="K179:K242" si="68">IF($A179="","",$C$12)</f>
        <v/>
      </c>
      <c r="L179" s="98" t="str">
        <f t="shared" ref="L179:L242" si="69">IF($A179="","",J179*K179^2)</f>
        <v/>
      </c>
      <c r="M179" s="101" t="str">
        <f t="shared" si="55"/>
        <v/>
      </c>
      <c r="O179" s="100" t="str">
        <f t="shared" ref="O179:O242" si="70">IF($A179="","",$J179*(1+0.0039*M179))</f>
        <v/>
      </c>
      <c r="P179" s="119" t="str">
        <f>IF('Temperature in bundle'!$P$4="Current = 1A per pair",2,IF($A179="","",('Temperature in bundle'!$Q$6-('Temperature in bundle'!$Q$6^2-4*(O179+Q$7)*'Temperature in bundle'!$Q$7)^0.5)/2/(O179+Q$7)))</f>
        <v/>
      </c>
      <c r="Q179" s="98" t="str">
        <f t="shared" ref="Q179:Q242" si="71">IF($A179="","",O179*P179^2)</f>
        <v/>
      </c>
      <c r="R179" s="101" t="str">
        <f t="shared" si="56"/>
        <v/>
      </c>
      <c r="T179" s="100" t="str">
        <f t="shared" ref="T179:T242" si="72">IF($A179="","",$J179*(1+0.0039*R179))</f>
        <v/>
      </c>
      <c r="U179" s="119" t="str">
        <f>IF('Temperature in bundle'!$P$4="Current = 1A per pair",2,IF($A179="","",('Temperature in bundle'!$Q$6-('Temperature in bundle'!$Q$6^2-4*(T179+V$7)*'Temperature in bundle'!$Q$7)^0.5)/2/(T179+V$7)))</f>
        <v/>
      </c>
      <c r="V179" s="98" t="str">
        <f t="shared" ref="V179:V242" si="73">IF($A179="","",T179*U179^2)</f>
        <v/>
      </c>
      <c r="W179" s="101" t="str">
        <f t="shared" si="57"/>
        <v/>
      </c>
      <c r="Y179" s="100" t="str">
        <f t="shared" ref="Y179:Y242" si="74">IF($A179="","",$J179*(1+0.0039*W179))</f>
        <v/>
      </c>
      <c r="Z179" s="119" t="str">
        <f>IF('Temperature in bundle'!$P$4="Current = 1A per pair",2,IF($A179="","",('Temperature in bundle'!$Q$6-('Temperature in bundle'!$Q$6^2-4*(Y179+AA$7)*'Temperature in bundle'!$Q$7)^0.5)/2/(Y179+AA$7)))</f>
        <v/>
      </c>
      <c r="AA179" s="98" t="str">
        <f t="shared" ref="AA179:AA242" si="75">IF($A179="","",Y179*Z179^2)</f>
        <v/>
      </c>
      <c r="AB179" s="101" t="str">
        <f t="shared" si="58"/>
        <v/>
      </c>
    </row>
    <row r="180" spans="1:28">
      <c r="A180" t="str">
        <f t="shared" si="59"/>
        <v/>
      </c>
      <c r="B180" s="113">
        <v>0.5</v>
      </c>
      <c r="C180" s="113">
        <f>SQRT(3)/2*7</f>
        <v>6.0621778264910704</v>
      </c>
      <c r="D180" s="113">
        <f t="shared" si="61"/>
        <v>6.0827625302982193</v>
      </c>
      <c r="E180" s="113" t="str">
        <f t="shared" ref="E180:F243" si="76">IF($A180="","",B180)</f>
        <v/>
      </c>
      <c r="F180" s="113" t="str">
        <f t="shared" si="76"/>
        <v/>
      </c>
      <c r="G180" s="113" t="str">
        <f t="shared" si="60"/>
        <v/>
      </c>
      <c r="J180" s="116" t="str">
        <f t="shared" ref="J180:J243" si="77">IF($A180="","",$E$10)</f>
        <v/>
      </c>
      <c r="K180" s="119" t="str">
        <f t="shared" si="68"/>
        <v/>
      </c>
      <c r="L180" s="98" t="str">
        <f t="shared" si="69"/>
        <v/>
      </c>
      <c r="M180" s="101" t="str">
        <f t="shared" ref="M180:M243" si="78">IF($A180="","",L$3+L$4*(1-3.63*$G180^2/$E$15))</f>
        <v/>
      </c>
      <c r="O180" s="100" t="str">
        <f t="shared" si="70"/>
        <v/>
      </c>
      <c r="P180" s="119" t="str">
        <f>IF('Temperature in bundle'!$P$4="Current = 1A per pair",2,IF($A180="","",('Temperature in bundle'!$Q$6-('Temperature in bundle'!$Q$6^2-4*(O180+Q$7)*'Temperature in bundle'!$Q$7)^0.5)/2/(O180+Q$7)))</f>
        <v/>
      </c>
      <c r="Q180" s="98" t="str">
        <f t="shared" si="71"/>
        <v/>
      </c>
      <c r="R180" s="101" t="str">
        <f t="shared" ref="R180:R243" si="79">IF($A180="","",Q$3+Q$4*(1-3.63*$G180^2/$E$15))</f>
        <v/>
      </c>
      <c r="T180" s="100" t="str">
        <f t="shared" si="72"/>
        <v/>
      </c>
      <c r="U180" s="119" t="str">
        <f>IF('Temperature in bundle'!$P$4="Current = 1A per pair",2,IF($A180="","",('Temperature in bundle'!$Q$6-('Temperature in bundle'!$Q$6^2-4*(T180+V$7)*'Temperature in bundle'!$Q$7)^0.5)/2/(T180+V$7)))</f>
        <v/>
      </c>
      <c r="V180" s="98" t="str">
        <f t="shared" si="73"/>
        <v/>
      </c>
      <c r="W180" s="101" t="str">
        <f t="shared" ref="W180:W243" si="80">IF($A180="","",V$3+V$4*(1-3.63*$G180^2/$E$15))</f>
        <v/>
      </c>
      <c r="Y180" s="100" t="str">
        <f t="shared" si="74"/>
        <v/>
      </c>
      <c r="Z180" s="119" t="str">
        <f>IF('Temperature in bundle'!$P$4="Current = 1A per pair",2,IF($A180="","",('Temperature in bundle'!$Q$6-('Temperature in bundle'!$Q$6^2-4*(Y180+AA$7)*'Temperature in bundle'!$Q$7)^0.5)/2/(Y180+AA$7)))</f>
        <v/>
      </c>
      <c r="AA180" s="98" t="str">
        <f t="shared" si="75"/>
        <v/>
      </c>
      <c r="AB180" s="101" t="str">
        <f t="shared" ref="AB180:AB243" si="81">IF($A180="","",AA$3+AA$4*(1-3.63*$G180^2/$E$15))</f>
        <v/>
      </c>
    </row>
    <row r="181" spans="1:28">
      <c r="A181" t="str">
        <f t="shared" ref="A181:A244" si="82">IF(A180&lt;E$15,A180+1,"")</f>
        <v/>
      </c>
      <c r="B181" s="113">
        <v>-0.5</v>
      </c>
      <c r="C181" s="113">
        <f>SQRT(3)/2*7</f>
        <v>6.0621778264910704</v>
      </c>
      <c r="D181" s="113">
        <f t="shared" si="61"/>
        <v>6.0827625302982193</v>
      </c>
      <c r="E181" s="113" t="str">
        <f t="shared" si="76"/>
        <v/>
      </c>
      <c r="F181" s="113" t="str">
        <f t="shared" si="76"/>
        <v/>
      </c>
      <c r="G181" s="113" t="str">
        <f t="shared" ref="G181:G244" si="83">IF(A181="","",((E$50-E181)^2+(F$50-F181)^2)^0.5)</f>
        <v/>
      </c>
      <c r="J181" s="116" t="str">
        <f t="shared" si="77"/>
        <v/>
      </c>
      <c r="K181" s="119" t="str">
        <f t="shared" si="68"/>
        <v/>
      </c>
      <c r="L181" s="98" t="str">
        <f t="shared" si="69"/>
        <v/>
      </c>
      <c r="M181" s="101" t="str">
        <f t="shared" si="78"/>
        <v/>
      </c>
      <c r="O181" s="100" t="str">
        <f t="shared" si="70"/>
        <v/>
      </c>
      <c r="P181" s="119" t="str">
        <f>IF('Temperature in bundle'!$P$4="Current = 1A per pair",2,IF($A181="","",('Temperature in bundle'!$Q$6-('Temperature in bundle'!$Q$6^2-4*(O181+Q$7)*'Temperature in bundle'!$Q$7)^0.5)/2/(O181+Q$7)))</f>
        <v/>
      </c>
      <c r="Q181" s="98" t="str">
        <f t="shared" si="71"/>
        <v/>
      </c>
      <c r="R181" s="101" t="str">
        <f t="shared" si="79"/>
        <v/>
      </c>
      <c r="T181" s="100" t="str">
        <f t="shared" si="72"/>
        <v/>
      </c>
      <c r="U181" s="119" t="str">
        <f>IF('Temperature in bundle'!$P$4="Current = 1A per pair",2,IF($A181="","",('Temperature in bundle'!$Q$6-('Temperature in bundle'!$Q$6^2-4*(T181+V$7)*'Temperature in bundle'!$Q$7)^0.5)/2/(T181+V$7)))</f>
        <v/>
      </c>
      <c r="V181" s="98" t="str">
        <f t="shared" si="73"/>
        <v/>
      </c>
      <c r="W181" s="101" t="str">
        <f t="shared" si="80"/>
        <v/>
      </c>
      <c r="Y181" s="100" t="str">
        <f t="shared" si="74"/>
        <v/>
      </c>
      <c r="Z181" s="119" t="str">
        <f>IF('Temperature in bundle'!$P$4="Current = 1A per pair",2,IF($A181="","",('Temperature in bundle'!$Q$6-('Temperature in bundle'!$Q$6^2-4*(Y181+AA$7)*'Temperature in bundle'!$Q$7)^0.5)/2/(Y181+AA$7)))</f>
        <v/>
      </c>
      <c r="AA181" s="98" t="str">
        <f t="shared" si="75"/>
        <v/>
      </c>
      <c r="AB181" s="101" t="str">
        <f t="shared" si="81"/>
        <v/>
      </c>
    </row>
    <row r="182" spans="1:28">
      <c r="A182" t="str">
        <f t="shared" si="82"/>
        <v/>
      </c>
      <c r="B182" s="113">
        <v>-5</v>
      </c>
      <c r="C182" s="113">
        <f>SQRT(3)/2*4</f>
        <v>3.4641016151377544</v>
      </c>
      <c r="D182" s="113">
        <f t="shared" ref="D182:D245" si="84">(B182^2+C182^2)^0.5</f>
        <v>6.0827625302982193</v>
      </c>
      <c r="E182" s="113" t="str">
        <f t="shared" si="76"/>
        <v/>
      </c>
      <c r="F182" s="113" t="str">
        <f t="shared" si="76"/>
        <v/>
      </c>
      <c r="G182" s="113" t="str">
        <f t="shared" si="83"/>
        <v/>
      </c>
      <c r="J182" s="116" t="str">
        <f t="shared" si="77"/>
        <v/>
      </c>
      <c r="K182" s="119" t="str">
        <f t="shared" si="68"/>
        <v/>
      </c>
      <c r="L182" s="98" t="str">
        <f t="shared" si="69"/>
        <v/>
      </c>
      <c r="M182" s="101" t="str">
        <f t="shared" si="78"/>
        <v/>
      </c>
      <c r="O182" s="100" t="str">
        <f t="shared" si="70"/>
        <v/>
      </c>
      <c r="P182" s="119" t="str">
        <f>IF('Temperature in bundle'!$P$4="Current = 1A per pair",2,IF($A182="","",('Temperature in bundle'!$Q$6-('Temperature in bundle'!$Q$6^2-4*(O182+Q$7)*'Temperature in bundle'!$Q$7)^0.5)/2/(O182+Q$7)))</f>
        <v/>
      </c>
      <c r="Q182" s="98" t="str">
        <f t="shared" si="71"/>
        <v/>
      </c>
      <c r="R182" s="101" t="str">
        <f t="shared" si="79"/>
        <v/>
      </c>
      <c r="T182" s="100" t="str">
        <f t="shared" si="72"/>
        <v/>
      </c>
      <c r="U182" s="119" t="str">
        <f>IF('Temperature in bundle'!$P$4="Current = 1A per pair",2,IF($A182="","",('Temperature in bundle'!$Q$6-('Temperature in bundle'!$Q$6^2-4*(T182+V$7)*'Temperature in bundle'!$Q$7)^0.5)/2/(T182+V$7)))</f>
        <v/>
      </c>
      <c r="V182" s="98" t="str">
        <f t="shared" si="73"/>
        <v/>
      </c>
      <c r="W182" s="101" t="str">
        <f t="shared" si="80"/>
        <v/>
      </c>
      <c r="Y182" s="100" t="str">
        <f t="shared" si="74"/>
        <v/>
      </c>
      <c r="Z182" s="119" t="str">
        <f>IF('Temperature in bundle'!$P$4="Current = 1A per pair",2,IF($A182="","",('Temperature in bundle'!$Q$6-('Temperature in bundle'!$Q$6^2-4*(Y182+AA$7)*'Temperature in bundle'!$Q$7)^0.5)/2/(Y182+AA$7)))</f>
        <v/>
      </c>
      <c r="AA182" s="98" t="str">
        <f t="shared" si="75"/>
        <v/>
      </c>
      <c r="AB182" s="101" t="str">
        <f t="shared" si="81"/>
        <v/>
      </c>
    </row>
    <row r="183" spans="1:28">
      <c r="A183" t="str">
        <f t="shared" si="82"/>
        <v/>
      </c>
      <c r="B183" s="113">
        <v>-5.5</v>
      </c>
      <c r="C183" s="113">
        <f>SQRT(3)/2*3</f>
        <v>2.598076211353316</v>
      </c>
      <c r="D183" s="113">
        <f t="shared" si="84"/>
        <v>6.0827625302982193</v>
      </c>
      <c r="E183" s="113" t="str">
        <f t="shared" si="76"/>
        <v/>
      </c>
      <c r="F183" s="113" t="str">
        <f t="shared" si="76"/>
        <v/>
      </c>
      <c r="G183" s="113" t="str">
        <f t="shared" si="83"/>
        <v/>
      </c>
      <c r="J183" s="116" t="str">
        <f t="shared" si="77"/>
        <v/>
      </c>
      <c r="K183" s="119" t="str">
        <f t="shared" si="68"/>
        <v/>
      </c>
      <c r="L183" s="98" t="str">
        <f t="shared" si="69"/>
        <v/>
      </c>
      <c r="M183" s="101" t="str">
        <f t="shared" si="78"/>
        <v/>
      </c>
      <c r="O183" s="100" t="str">
        <f t="shared" si="70"/>
        <v/>
      </c>
      <c r="P183" s="119" t="str">
        <f>IF('Temperature in bundle'!$P$4="Current = 1A per pair",2,IF($A183="","",('Temperature in bundle'!$Q$6-('Temperature in bundle'!$Q$6^2-4*(O183+Q$7)*'Temperature in bundle'!$Q$7)^0.5)/2/(O183+Q$7)))</f>
        <v/>
      </c>
      <c r="Q183" s="98" t="str">
        <f t="shared" si="71"/>
        <v/>
      </c>
      <c r="R183" s="101" t="str">
        <f t="shared" si="79"/>
        <v/>
      </c>
      <c r="T183" s="100" t="str">
        <f t="shared" si="72"/>
        <v/>
      </c>
      <c r="U183" s="119" t="str">
        <f>IF('Temperature in bundle'!$P$4="Current = 1A per pair",2,IF($A183="","",('Temperature in bundle'!$Q$6-('Temperature in bundle'!$Q$6^2-4*(T183+V$7)*'Temperature in bundle'!$Q$7)^0.5)/2/(T183+V$7)))</f>
        <v/>
      </c>
      <c r="V183" s="98" t="str">
        <f t="shared" si="73"/>
        <v/>
      </c>
      <c r="W183" s="101" t="str">
        <f t="shared" si="80"/>
        <v/>
      </c>
      <c r="Y183" s="100" t="str">
        <f t="shared" si="74"/>
        <v/>
      </c>
      <c r="Z183" s="119" t="str">
        <f>IF('Temperature in bundle'!$P$4="Current = 1A per pair",2,IF($A183="","",('Temperature in bundle'!$Q$6-('Temperature in bundle'!$Q$6^2-4*(Y183+AA$7)*'Temperature in bundle'!$Q$7)^0.5)/2/(Y183+AA$7)))</f>
        <v/>
      </c>
      <c r="AA183" s="98" t="str">
        <f t="shared" si="75"/>
        <v/>
      </c>
      <c r="AB183" s="101" t="str">
        <f t="shared" si="81"/>
        <v/>
      </c>
    </row>
    <row r="184" spans="1:28">
      <c r="A184" t="str">
        <f t="shared" si="82"/>
        <v/>
      </c>
      <c r="B184" s="113">
        <v>-5.5</v>
      </c>
      <c r="C184" s="113">
        <f>(SQRT(3)/2*3)*-1</f>
        <v>-2.598076211353316</v>
      </c>
      <c r="D184" s="113">
        <f t="shared" si="84"/>
        <v>6.0827625302982193</v>
      </c>
      <c r="E184" s="113" t="str">
        <f t="shared" si="76"/>
        <v/>
      </c>
      <c r="F184" s="113" t="str">
        <f t="shared" si="76"/>
        <v/>
      </c>
      <c r="G184" s="113" t="str">
        <f t="shared" si="83"/>
        <v/>
      </c>
      <c r="J184" s="116" t="str">
        <f t="shared" si="77"/>
        <v/>
      </c>
      <c r="K184" s="119" t="str">
        <f t="shared" si="68"/>
        <v/>
      </c>
      <c r="L184" s="98" t="str">
        <f t="shared" si="69"/>
        <v/>
      </c>
      <c r="M184" s="101" t="str">
        <f t="shared" si="78"/>
        <v/>
      </c>
      <c r="O184" s="100" t="str">
        <f t="shared" si="70"/>
        <v/>
      </c>
      <c r="P184" s="119" t="str">
        <f>IF('Temperature in bundle'!$P$4="Current = 1A per pair",2,IF($A184="","",('Temperature in bundle'!$Q$6-('Temperature in bundle'!$Q$6^2-4*(O184+Q$7)*'Temperature in bundle'!$Q$7)^0.5)/2/(O184+Q$7)))</f>
        <v/>
      </c>
      <c r="Q184" s="98" t="str">
        <f t="shared" si="71"/>
        <v/>
      </c>
      <c r="R184" s="101" t="str">
        <f t="shared" si="79"/>
        <v/>
      </c>
      <c r="T184" s="100" t="str">
        <f t="shared" si="72"/>
        <v/>
      </c>
      <c r="U184" s="119" t="str">
        <f>IF('Temperature in bundle'!$P$4="Current = 1A per pair",2,IF($A184="","",('Temperature in bundle'!$Q$6-('Temperature in bundle'!$Q$6^2-4*(T184+V$7)*'Temperature in bundle'!$Q$7)^0.5)/2/(T184+V$7)))</f>
        <v/>
      </c>
      <c r="V184" s="98" t="str">
        <f t="shared" si="73"/>
        <v/>
      </c>
      <c r="W184" s="101" t="str">
        <f t="shared" si="80"/>
        <v/>
      </c>
      <c r="Y184" s="100" t="str">
        <f t="shared" si="74"/>
        <v/>
      </c>
      <c r="Z184" s="119" t="str">
        <f>IF('Temperature in bundle'!$P$4="Current = 1A per pair",2,IF($A184="","",('Temperature in bundle'!$Q$6-('Temperature in bundle'!$Q$6^2-4*(Y184+AA$7)*'Temperature in bundle'!$Q$7)^0.5)/2/(Y184+AA$7)))</f>
        <v/>
      </c>
      <c r="AA184" s="98" t="str">
        <f t="shared" si="75"/>
        <v/>
      </c>
      <c r="AB184" s="101" t="str">
        <f t="shared" si="81"/>
        <v/>
      </c>
    </row>
    <row r="185" spans="1:28">
      <c r="A185" t="str">
        <f t="shared" si="82"/>
        <v/>
      </c>
      <c r="B185" s="113">
        <v>-5</v>
      </c>
      <c r="C185" s="113">
        <f>(SQRT(3)/2*4)*-1</f>
        <v>-3.4641016151377544</v>
      </c>
      <c r="D185" s="113">
        <f t="shared" si="84"/>
        <v>6.0827625302982193</v>
      </c>
      <c r="E185" s="113" t="str">
        <f t="shared" si="76"/>
        <v/>
      </c>
      <c r="F185" s="113" t="str">
        <f t="shared" si="76"/>
        <v/>
      </c>
      <c r="G185" s="113" t="str">
        <f t="shared" si="83"/>
        <v/>
      </c>
      <c r="J185" s="116" t="str">
        <f t="shared" si="77"/>
        <v/>
      </c>
      <c r="K185" s="119" t="str">
        <f t="shared" si="68"/>
        <v/>
      </c>
      <c r="L185" s="98" t="str">
        <f t="shared" si="69"/>
        <v/>
      </c>
      <c r="M185" s="101" t="str">
        <f t="shared" si="78"/>
        <v/>
      </c>
      <c r="O185" s="100" t="str">
        <f t="shared" si="70"/>
        <v/>
      </c>
      <c r="P185" s="119" t="str">
        <f>IF('Temperature in bundle'!$P$4="Current = 1A per pair",2,IF($A185="","",('Temperature in bundle'!$Q$6-('Temperature in bundle'!$Q$6^2-4*(O185+Q$7)*'Temperature in bundle'!$Q$7)^0.5)/2/(O185+Q$7)))</f>
        <v/>
      </c>
      <c r="Q185" s="98" t="str">
        <f t="shared" si="71"/>
        <v/>
      </c>
      <c r="R185" s="101" t="str">
        <f t="shared" si="79"/>
        <v/>
      </c>
      <c r="T185" s="100" t="str">
        <f t="shared" si="72"/>
        <v/>
      </c>
      <c r="U185" s="119" t="str">
        <f>IF('Temperature in bundle'!$P$4="Current = 1A per pair",2,IF($A185="","",('Temperature in bundle'!$Q$6-('Temperature in bundle'!$Q$6^2-4*(T185+V$7)*'Temperature in bundle'!$Q$7)^0.5)/2/(T185+V$7)))</f>
        <v/>
      </c>
      <c r="V185" s="98" t="str">
        <f t="shared" si="73"/>
        <v/>
      </c>
      <c r="W185" s="101" t="str">
        <f t="shared" si="80"/>
        <v/>
      </c>
      <c r="Y185" s="100" t="str">
        <f t="shared" si="74"/>
        <v/>
      </c>
      <c r="Z185" s="119" t="str">
        <f>IF('Temperature in bundle'!$P$4="Current = 1A per pair",2,IF($A185="","",('Temperature in bundle'!$Q$6-('Temperature in bundle'!$Q$6^2-4*(Y185+AA$7)*'Temperature in bundle'!$Q$7)^0.5)/2/(Y185+AA$7)))</f>
        <v/>
      </c>
      <c r="AA185" s="98" t="str">
        <f t="shared" si="75"/>
        <v/>
      </c>
      <c r="AB185" s="101" t="str">
        <f t="shared" si="81"/>
        <v/>
      </c>
    </row>
    <row r="186" spans="1:28">
      <c r="A186" t="str">
        <f t="shared" si="82"/>
        <v/>
      </c>
      <c r="B186" s="113">
        <v>-0.5</v>
      </c>
      <c r="C186" s="113">
        <f>(SQRT(3)/2*7)*-1</f>
        <v>-6.0621778264910704</v>
      </c>
      <c r="D186" s="113">
        <f t="shared" si="84"/>
        <v>6.0827625302982193</v>
      </c>
      <c r="E186" s="113" t="str">
        <f t="shared" si="76"/>
        <v/>
      </c>
      <c r="F186" s="113" t="str">
        <f t="shared" si="76"/>
        <v/>
      </c>
      <c r="G186" s="113" t="str">
        <f t="shared" si="83"/>
        <v/>
      </c>
      <c r="J186" s="116" t="str">
        <f t="shared" si="77"/>
        <v/>
      </c>
      <c r="K186" s="119" t="str">
        <f t="shared" si="68"/>
        <v/>
      </c>
      <c r="L186" s="98" t="str">
        <f t="shared" si="69"/>
        <v/>
      </c>
      <c r="M186" s="101" t="str">
        <f t="shared" si="78"/>
        <v/>
      </c>
      <c r="O186" s="100" t="str">
        <f t="shared" si="70"/>
        <v/>
      </c>
      <c r="P186" s="119" t="str">
        <f>IF('Temperature in bundle'!$P$4="Current = 1A per pair",2,IF($A186="","",('Temperature in bundle'!$Q$6-('Temperature in bundle'!$Q$6^2-4*(O186+Q$7)*'Temperature in bundle'!$Q$7)^0.5)/2/(O186+Q$7)))</f>
        <v/>
      </c>
      <c r="Q186" s="98" t="str">
        <f t="shared" si="71"/>
        <v/>
      </c>
      <c r="R186" s="101" t="str">
        <f t="shared" si="79"/>
        <v/>
      </c>
      <c r="T186" s="100" t="str">
        <f t="shared" si="72"/>
        <v/>
      </c>
      <c r="U186" s="119" t="str">
        <f>IF('Temperature in bundle'!$P$4="Current = 1A per pair",2,IF($A186="","",('Temperature in bundle'!$Q$6-('Temperature in bundle'!$Q$6^2-4*(T186+V$7)*'Temperature in bundle'!$Q$7)^0.5)/2/(T186+V$7)))</f>
        <v/>
      </c>
      <c r="V186" s="98" t="str">
        <f t="shared" si="73"/>
        <v/>
      </c>
      <c r="W186" s="101" t="str">
        <f t="shared" si="80"/>
        <v/>
      </c>
      <c r="Y186" s="100" t="str">
        <f t="shared" si="74"/>
        <v/>
      </c>
      <c r="Z186" s="119" t="str">
        <f>IF('Temperature in bundle'!$P$4="Current = 1A per pair",2,IF($A186="","",('Temperature in bundle'!$Q$6-('Temperature in bundle'!$Q$6^2-4*(Y186+AA$7)*'Temperature in bundle'!$Q$7)^0.5)/2/(Y186+AA$7)))</f>
        <v/>
      </c>
      <c r="AA186" s="98" t="str">
        <f t="shared" si="75"/>
        <v/>
      </c>
      <c r="AB186" s="101" t="str">
        <f t="shared" si="81"/>
        <v/>
      </c>
    </row>
    <row r="187" spans="1:28">
      <c r="A187" t="str">
        <f t="shared" si="82"/>
        <v/>
      </c>
      <c r="B187" s="113">
        <v>0.5</v>
      </c>
      <c r="C187" s="113">
        <f>(SQRT(3)/2*7)*-1</f>
        <v>-6.0621778264910704</v>
      </c>
      <c r="D187" s="113">
        <f t="shared" si="84"/>
        <v>6.0827625302982193</v>
      </c>
      <c r="E187" s="113" t="str">
        <f t="shared" si="76"/>
        <v/>
      </c>
      <c r="F187" s="113" t="str">
        <f t="shared" si="76"/>
        <v/>
      </c>
      <c r="G187" s="113" t="str">
        <f t="shared" si="83"/>
        <v/>
      </c>
      <c r="J187" s="116" t="str">
        <f t="shared" si="77"/>
        <v/>
      </c>
      <c r="K187" s="119" t="str">
        <f t="shared" si="68"/>
        <v/>
      </c>
      <c r="L187" s="98" t="str">
        <f t="shared" si="69"/>
        <v/>
      </c>
      <c r="M187" s="101" t="str">
        <f t="shared" si="78"/>
        <v/>
      </c>
      <c r="O187" s="100" t="str">
        <f t="shared" si="70"/>
        <v/>
      </c>
      <c r="P187" s="119" t="str">
        <f>IF('Temperature in bundle'!$P$4="Current = 1A per pair",2,IF($A187="","",('Temperature in bundle'!$Q$6-('Temperature in bundle'!$Q$6^2-4*(O187+Q$7)*'Temperature in bundle'!$Q$7)^0.5)/2/(O187+Q$7)))</f>
        <v/>
      </c>
      <c r="Q187" s="98" t="str">
        <f t="shared" si="71"/>
        <v/>
      </c>
      <c r="R187" s="101" t="str">
        <f t="shared" si="79"/>
        <v/>
      </c>
      <c r="T187" s="100" t="str">
        <f t="shared" si="72"/>
        <v/>
      </c>
      <c r="U187" s="119" t="str">
        <f>IF('Temperature in bundle'!$P$4="Current = 1A per pair",2,IF($A187="","",('Temperature in bundle'!$Q$6-('Temperature in bundle'!$Q$6^2-4*(T187+V$7)*'Temperature in bundle'!$Q$7)^0.5)/2/(T187+V$7)))</f>
        <v/>
      </c>
      <c r="V187" s="98" t="str">
        <f t="shared" si="73"/>
        <v/>
      </c>
      <c r="W187" s="101" t="str">
        <f t="shared" si="80"/>
        <v/>
      </c>
      <c r="Y187" s="100" t="str">
        <f t="shared" si="74"/>
        <v/>
      </c>
      <c r="Z187" s="119" t="str">
        <f>IF('Temperature in bundle'!$P$4="Current = 1A per pair",2,IF($A187="","",('Temperature in bundle'!$Q$6-('Temperature in bundle'!$Q$6^2-4*(Y187+AA$7)*'Temperature in bundle'!$Q$7)^0.5)/2/(Y187+AA$7)))</f>
        <v/>
      </c>
      <c r="AA187" s="98" t="str">
        <f t="shared" si="75"/>
        <v/>
      </c>
      <c r="AB187" s="101" t="str">
        <f t="shared" si="81"/>
        <v/>
      </c>
    </row>
    <row r="188" spans="1:28">
      <c r="A188" t="str">
        <f t="shared" si="82"/>
        <v/>
      </c>
      <c r="B188" s="113">
        <v>5</v>
      </c>
      <c r="C188" s="113">
        <f>(SQRT(3)/2*4)*-1</f>
        <v>-3.4641016151377544</v>
      </c>
      <c r="D188" s="113">
        <f t="shared" si="84"/>
        <v>6.0827625302982193</v>
      </c>
      <c r="E188" s="113" t="str">
        <f t="shared" si="76"/>
        <v/>
      </c>
      <c r="F188" s="113" t="str">
        <f t="shared" si="76"/>
        <v/>
      </c>
      <c r="G188" s="113" t="str">
        <f t="shared" si="83"/>
        <v/>
      </c>
      <c r="J188" s="116" t="str">
        <f t="shared" si="77"/>
        <v/>
      </c>
      <c r="K188" s="119" t="str">
        <f t="shared" si="68"/>
        <v/>
      </c>
      <c r="L188" s="98" t="str">
        <f t="shared" si="69"/>
        <v/>
      </c>
      <c r="M188" s="101" t="str">
        <f t="shared" si="78"/>
        <v/>
      </c>
      <c r="O188" s="100" t="str">
        <f t="shared" si="70"/>
        <v/>
      </c>
      <c r="P188" s="119" t="str">
        <f>IF('Temperature in bundle'!$P$4="Current = 1A per pair",2,IF($A188="","",('Temperature in bundle'!$Q$6-('Temperature in bundle'!$Q$6^2-4*(O188+Q$7)*'Temperature in bundle'!$Q$7)^0.5)/2/(O188+Q$7)))</f>
        <v/>
      </c>
      <c r="Q188" s="98" t="str">
        <f t="shared" si="71"/>
        <v/>
      </c>
      <c r="R188" s="101" t="str">
        <f t="shared" si="79"/>
        <v/>
      </c>
      <c r="T188" s="100" t="str">
        <f t="shared" si="72"/>
        <v/>
      </c>
      <c r="U188" s="119" t="str">
        <f>IF('Temperature in bundle'!$P$4="Current = 1A per pair",2,IF($A188="","",('Temperature in bundle'!$Q$6-('Temperature in bundle'!$Q$6^2-4*(T188+V$7)*'Temperature in bundle'!$Q$7)^0.5)/2/(T188+V$7)))</f>
        <v/>
      </c>
      <c r="V188" s="98" t="str">
        <f t="shared" si="73"/>
        <v/>
      </c>
      <c r="W188" s="101" t="str">
        <f t="shared" si="80"/>
        <v/>
      </c>
      <c r="Y188" s="100" t="str">
        <f t="shared" si="74"/>
        <v/>
      </c>
      <c r="Z188" s="119" t="str">
        <f>IF('Temperature in bundle'!$P$4="Current = 1A per pair",2,IF($A188="","",('Temperature in bundle'!$Q$6-('Temperature in bundle'!$Q$6^2-4*(Y188+AA$7)*'Temperature in bundle'!$Q$7)^0.5)/2/(Y188+AA$7)))</f>
        <v/>
      </c>
      <c r="AA188" s="98" t="str">
        <f t="shared" si="75"/>
        <v/>
      </c>
      <c r="AB188" s="101" t="str">
        <f t="shared" si="81"/>
        <v/>
      </c>
    </row>
    <row r="189" spans="1:28">
      <c r="A189" t="str">
        <f t="shared" si="82"/>
        <v/>
      </c>
      <c r="B189" s="113">
        <v>5.5</v>
      </c>
      <c r="C189" s="113">
        <f>(SQRT(3)/2*3)*-1</f>
        <v>-2.598076211353316</v>
      </c>
      <c r="D189" s="113">
        <f t="shared" si="84"/>
        <v>6.0827625302982193</v>
      </c>
      <c r="E189" s="113" t="str">
        <f t="shared" si="76"/>
        <v/>
      </c>
      <c r="F189" s="113" t="str">
        <f t="shared" si="76"/>
        <v/>
      </c>
      <c r="G189" s="113" t="str">
        <f t="shared" si="83"/>
        <v/>
      </c>
      <c r="J189" s="116" t="str">
        <f t="shared" si="77"/>
        <v/>
      </c>
      <c r="K189" s="119" t="str">
        <f t="shared" si="68"/>
        <v/>
      </c>
      <c r="L189" s="98" t="str">
        <f t="shared" si="69"/>
        <v/>
      </c>
      <c r="M189" s="101" t="str">
        <f t="shared" si="78"/>
        <v/>
      </c>
      <c r="O189" s="100" t="str">
        <f t="shared" si="70"/>
        <v/>
      </c>
      <c r="P189" s="119" t="str">
        <f>IF('Temperature in bundle'!$P$4="Current = 1A per pair",2,IF($A189="","",('Temperature in bundle'!$Q$6-('Temperature in bundle'!$Q$6^2-4*(O189+Q$7)*'Temperature in bundle'!$Q$7)^0.5)/2/(O189+Q$7)))</f>
        <v/>
      </c>
      <c r="Q189" s="98" t="str">
        <f t="shared" si="71"/>
        <v/>
      </c>
      <c r="R189" s="101" t="str">
        <f t="shared" si="79"/>
        <v/>
      </c>
      <c r="T189" s="100" t="str">
        <f t="shared" si="72"/>
        <v/>
      </c>
      <c r="U189" s="119" t="str">
        <f>IF('Temperature in bundle'!$P$4="Current = 1A per pair",2,IF($A189="","",('Temperature in bundle'!$Q$6-('Temperature in bundle'!$Q$6^2-4*(T189+V$7)*'Temperature in bundle'!$Q$7)^0.5)/2/(T189+V$7)))</f>
        <v/>
      </c>
      <c r="V189" s="98" t="str">
        <f t="shared" si="73"/>
        <v/>
      </c>
      <c r="W189" s="101" t="str">
        <f t="shared" si="80"/>
        <v/>
      </c>
      <c r="Y189" s="100" t="str">
        <f t="shared" si="74"/>
        <v/>
      </c>
      <c r="Z189" s="119" t="str">
        <f>IF('Temperature in bundle'!$P$4="Current = 1A per pair",2,IF($A189="","",('Temperature in bundle'!$Q$6-('Temperature in bundle'!$Q$6^2-4*(Y189+AA$7)*'Temperature in bundle'!$Q$7)^0.5)/2/(Y189+AA$7)))</f>
        <v/>
      </c>
      <c r="AA189" s="98" t="str">
        <f t="shared" si="75"/>
        <v/>
      </c>
      <c r="AB189" s="101" t="str">
        <f t="shared" si="81"/>
        <v/>
      </c>
    </row>
    <row r="190" spans="1:28">
      <c r="A190" t="str">
        <f t="shared" si="82"/>
        <v/>
      </c>
      <c r="B190" s="113">
        <v>6</v>
      </c>
      <c r="C190" s="113">
        <f>SQRT(3)/2*2</f>
        <v>1.7320508075688772</v>
      </c>
      <c r="D190" s="113">
        <f t="shared" si="84"/>
        <v>6.2449979983983983</v>
      </c>
      <c r="E190" s="113" t="str">
        <f t="shared" si="76"/>
        <v/>
      </c>
      <c r="F190" s="113" t="str">
        <f t="shared" si="76"/>
        <v/>
      </c>
      <c r="G190" s="113" t="str">
        <f t="shared" si="83"/>
        <v/>
      </c>
      <c r="J190" s="116" t="str">
        <f t="shared" si="77"/>
        <v/>
      </c>
      <c r="K190" s="119" t="str">
        <f t="shared" si="68"/>
        <v/>
      </c>
      <c r="L190" s="98" t="str">
        <f t="shared" si="69"/>
        <v/>
      </c>
      <c r="M190" s="101" t="str">
        <f t="shared" si="78"/>
        <v/>
      </c>
      <c r="O190" s="100" t="str">
        <f t="shared" si="70"/>
        <v/>
      </c>
      <c r="P190" s="119" t="str">
        <f>IF('Temperature in bundle'!$P$4="Current = 1A per pair",2,IF($A190="","",('Temperature in bundle'!$Q$6-('Temperature in bundle'!$Q$6^2-4*(O190+Q$7)*'Temperature in bundle'!$Q$7)^0.5)/2/(O190+Q$7)))</f>
        <v/>
      </c>
      <c r="Q190" s="98" t="str">
        <f t="shared" si="71"/>
        <v/>
      </c>
      <c r="R190" s="101" t="str">
        <f t="shared" si="79"/>
        <v/>
      </c>
      <c r="T190" s="100" t="str">
        <f t="shared" si="72"/>
        <v/>
      </c>
      <c r="U190" s="119" t="str">
        <f>IF('Temperature in bundle'!$P$4="Current = 1A per pair",2,IF($A190="","",('Temperature in bundle'!$Q$6-('Temperature in bundle'!$Q$6^2-4*(T190+V$7)*'Temperature in bundle'!$Q$7)^0.5)/2/(T190+V$7)))</f>
        <v/>
      </c>
      <c r="V190" s="98" t="str">
        <f t="shared" si="73"/>
        <v/>
      </c>
      <c r="W190" s="101" t="str">
        <f t="shared" si="80"/>
        <v/>
      </c>
      <c r="Y190" s="100" t="str">
        <f t="shared" si="74"/>
        <v/>
      </c>
      <c r="Z190" s="119" t="str">
        <f>IF('Temperature in bundle'!$P$4="Current = 1A per pair",2,IF($A190="","",('Temperature in bundle'!$Q$6-('Temperature in bundle'!$Q$6^2-4*(Y190+AA$7)*'Temperature in bundle'!$Q$7)^0.5)/2/(Y190+AA$7)))</f>
        <v/>
      </c>
      <c r="AA190" s="98" t="str">
        <f t="shared" si="75"/>
        <v/>
      </c>
      <c r="AB190" s="101" t="str">
        <f t="shared" si="81"/>
        <v/>
      </c>
    </row>
    <row r="191" spans="1:28">
      <c r="A191" t="str">
        <f t="shared" si="82"/>
        <v/>
      </c>
      <c r="B191" s="113">
        <v>4.5</v>
      </c>
      <c r="C191" s="113">
        <f>SQRT(3)/2*5</f>
        <v>4.3301270189221928</v>
      </c>
      <c r="D191" s="113">
        <f t="shared" si="84"/>
        <v>6.2449979983983983</v>
      </c>
      <c r="E191" s="113" t="str">
        <f t="shared" si="76"/>
        <v/>
      </c>
      <c r="F191" s="113" t="str">
        <f t="shared" si="76"/>
        <v/>
      </c>
      <c r="G191" s="113" t="str">
        <f t="shared" si="83"/>
        <v/>
      </c>
      <c r="J191" s="116" t="str">
        <f t="shared" si="77"/>
        <v/>
      </c>
      <c r="K191" s="119" t="str">
        <f t="shared" si="68"/>
        <v/>
      </c>
      <c r="L191" s="98" t="str">
        <f t="shared" si="69"/>
        <v/>
      </c>
      <c r="M191" s="101" t="str">
        <f t="shared" si="78"/>
        <v/>
      </c>
      <c r="O191" s="100" t="str">
        <f t="shared" si="70"/>
        <v/>
      </c>
      <c r="P191" s="119" t="str">
        <f>IF('Temperature in bundle'!$P$4="Current = 1A per pair",2,IF($A191="","",('Temperature in bundle'!$Q$6-('Temperature in bundle'!$Q$6^2-4*(O191+Q$7)*'Temperature in bundle'!$Q$7)^0.5)/2/(O191+Q$7)))</f>
        <v/>
      </c>
      <c r="Q191" s="98" t="str">
        <f t="shared" si="71"/>
        <v/>
      </c>
      <c r="R191" s="101" t="str">
        <f t="shared" si="79"/>
        <v/>
      </c>
      <c r="T191" s="100" t="str">
        <f t="shared" si="72"/>
        <v/>
      </c>
      <c r="U191" s="119" t="str">
        <f>IF('Temperature in bundle'!$P$4="Current = 1A per pair",2,IF($A191="","",('Temperature in bundle'!$Q$6-('Temperature in bundle'!$Q$6^2-4*(T191+V$7)*'Temperature in bundle'!$Q$7)^0.5)/2/(T191+V$7)))</f>
        <v/>
      </c>
      <c r="V191" s="98" t="str">
        <f t="shared" si="73"/>
        <v/>
      </c>
      <c r="W191" s="101" t="str">
        <f t="shared" si="80"/>
        <v/>
      </c>
      <c r="Y191" s="100" t="str">
        <f t="shared" si="74"/>
        <v/>
      </c>
      <c r="Z191" s="119" t="str">
        <f>IF('Temperature in bundle'!$P$4="Current = 1A per pair",2,IF($A191="","",('Temperature in bundle'!$Q$6-('Temperature in bundle'!$Q$6^2-4*(Y191+AA$7)*'Temperature in bundle'!$Q$7)^0.5)/2/(Y191+AA$7)))</f>
        <v/>
      </c>
      <c r="AA191" s="98" t="str">
        <f t="shared" si="75"/>
        <v/>
      </c>
      <c r="AB191" s="101" t="str">
        <f t="shared" si="81"/>
        <v/>
      </c>
    </row>
    <row r="192" spans="1:28">
      <c r="A192" t="str">
        <f t="shared" si="82"/>
        <v/>
      </c>
      <c r="B192" s="113">
        <v>1.5</v>
      </c>
      <c r="C192" s="113">
        <f>SQRT(3)/2*7</f>
        <v>6.0621778264910704</v>
      </c>
      <c r="D192" s="113">
        <f t="shared" si="84"/>
        <v>6.2449979983983983</v>
      </c>
      <c r="E192" s="113" t="str">
        <f t="shared" si="76"/>
        <v/>
      </c>
      <c r="F192" s="113" t="str">
        <f t="shared" si="76"/>
        <v/>
      </c>
      <c r="G192" s="113" t="str">
        <f t="shared" si="83"/>
        <v/>
      </c>
      <c r="J192" s="116" t="str">
        <f t="shared" si="77"/>
        <v/>
      </c>
      <c r="K192" s="119" t="str">
        <f t="shared" si="68"/>
        <v/>
      </c>
      <c r="L192" s="98" t="str">
        <f t="shared" si="69"/>
        <v/>
      </c>
      <c r="M192" s="101" t="str">
        <f t="shared" si="78"/>
        <v/>
      </c>
      <c r="O192" s="100" t="str">
        <f t="shared" si="70"/>
        <v/>
      </c>
      <c r="P192" s="119" t="str">
        <f>IF('Temperature in bundle'!$P$4="Current = 1A per pair",2,IF($A192="","",('Temperature in bundle'!$Q$6-('Temperature in bundle'!$Q$6^2-4*(O192+Q$7)*'Temperature in bundle'!$Q$7)^0.5)/2/(O192+Q$7)))</f>
        <v/>
      </c>
      <c r="Q192" s="98" t="str">
        <f t="shared" si="71"/>
        <v/>
      </c>
      <c r="R192" s="101" t="str">
        <f t="shared" si="79"/>
        <v/>
      </c>
      <c r="T192" s="100" t="str">
        <f t="shared" si="72"/>
        <v/>
      </c>
      <c r="U192" s="119" t="str">
        <f>IF('Temperature in bundle'!$P$4="Current = 1A per pair",2,IF($A192="","",('Temperature in bundle'!$Q$6-('Temperature in bundle'!$Q$6^2-4*(T192+V$7)*'Temperature in bundle'!$Q$7)^0.5)/2/(T192+V$7)))</f>
        <v/>
      </c>
      <c r="V192" s="98" t="str">
        <f t="shared" si="73"/>
        <v/>
      </c>
      <c r="W192" s="101" t="str">
        <f t="shared" si="80"/>
        <v/>
      </c>
      <c r="Y192" s="100" t="str">
        <f t="shared" si="74"/>
        <v/>
      </c>
      <c r="Z192" s="119" t="str">
        <f>IF('Temperature in bundle'!$P$4="Current = 1A per pair",2,IF($A192="","",('Temperature in bundle'!$Q$6-('Temperature in bundle'!$Q$6^2-4*(Y192+AA$7)*'Temperature in bundle'!$Q$7)^0.5)/2/(Y192+AA$7)))</f>
        <v/>
      </c>
      <c r="AA192" s="98" t="str">
        <f t="shared" si="75"/>
        <v/>
      </c>
      <c r="AB192" s="101" t="str">
        <f t="shared" si="81"/>
        <v/>
      </c>
    </row>
    <row r="193" spans="1:28">
      <c r="A193" t="str">
        <f t="shared" si="82"/>
        <v/>
      </c>
      <c r="B193" s="113">
        <v>-1.5</v>
      </c>
      <c r="C193" s="113">
        <f>SQRT(3)/2*7</f>
        <v>6.0621778264910704</v>
      </c>
      <c r="D193" s="113">
        <f t="shared" si="84"/>
        <v>6.2449979983983983</v>
      </c>
      <c r="E193" s="113" t="str">
        <f t="shared" si="76"/>
        <v/>
      </c>
      <c r="F193" s="113" t="str">
        <f t="shared" si="76"/>
        <v/>
      </c>
      <c r="G193" s="113" t="str">
        <f t="shared" si="83"/>
        <v/>
      </c>
      <c r="J193" s="116" t="str">
        <f t="shared" si="77"/>
        <v/>
      </c>
      <c r="K193" s="119" t="str">
        <f t="shared" si="68"/>
        <v/>
      </c>
      <c r="L193" s="98" t="str">
        <f t="shared" si="69"/>
        <v/>
      </c>
      <c r="M193" s="101" t="str">
        <f t="shared" si="78"/>
        <v/>
      </c>
      <c r="O193" s="100" t="str">
        <f t="shared" si="70"/>
        <v/>
      </c>
      <c r="P193" s="119" t="str">
        <f>IF('Temperature in bundle'!$P$4="Current = 1A per pair",2,IF($A193="","",('Temperature in bundle'!$Q$6-('Temperature in bundle'!$Q$6^2-4*(O193+Q$7)*'Temperature in bundle'!$Q$7)^0.5)/2/(O193+Q$7)))</f>
        <v/>
      </c>
      <c r="Q193" s="98" t="str">
        <f t="shared" si="71"/>
        <v/>
      </c>
      <c r="R193" s="101" t="str">
        <f t="shared" si="79"/>
        <v/>
      </c>
      <c r="T193" s="100" t="str">
        <f t="shared" si="72"/>
        <v/>
      </c>
      <c r="U193" s="119" t="str">
        <f>IF('Temperature in bundle'!$P$4="Current = 1A per pair",2,IF($A193="","",('Temperature in bundle'!$Q$6-('Temperature in bundle'!$Q$6^2-4*(T193+V$7)*'Temperature in bundle'!$Q$7)^0.5)/2/(T193+V$7)))</f>
        <v/>
      </c>
      <c r="V193" s="98" t="str">
        <f t="shared" si="73"/>
        <v/>
      </c>
      <c r="W193" s="101" t="str">
        <f t="shared" si="80"/>
        <v/>
      </c>
      <c r="Y193" s="100" t="str">
        <f t="shared" si="74"/>
        <v/>
      </c>
      <c r="Z193" s="119" t="str">
        <f>IF('Temperature in bundle'!$P$4="Current = 1A per pair",2,IF($A193="","",('Temperature in bundle'!$Q$6-('Temperature in bundle'!$Q$6^2-4*(Y193+AA$7)*'Temperature in bundle'!$Q$7)^0.5)/2/(Y193+AA$7)))</f>
        <v/>
      </c>
      <c r="AA193" s="98" t="str">
        <f t="shared" si="75"/>
        <v/>
      </c>
      <c r="AB193" s="101" t="str">
        <f t="shared" si="81"/>
        <v/>
      </c>
    </row>
    <row r="194" spans="1:28">
      <c r="A194" t="str">
        <f t="shared" si="82"/>
        <v/>
      </c>
      <c r="B194" s="113">
        <v>-4.5</v>
      </c>
      <c r="C194" s="113">
        <f>SQRT(3)/2*5</f>
        <v>4.3301270189221928</v>
      </c>
      <c r="D194" s="113">
        <f t="shared" si="84"/>
        <v>6.2449979983983983</v>
      </c>
      <c r="E194" s="113" t="str">
        <f t="shared" si="76"/>
        <v/>
      </c>
      <c r="F194" s="113" t="str">
        <f t="shared" si="76"/>
        <v/>
      </c>
      <c r="G194" s="113" t="str">
        <f t="shared" si="83"/>
        <v/>
      </c>
      <c r="J194" s="116" t="str">
        <f t="shared" si="77"/>
        <v/>
      </c>
      <c r="K194" s="119" t="str">
        <f t="shared" si="68"/>
        <v/>
      </c>
      <c r="L194" s="98" t="str">
        <f t="shared" si="69"/>
        <v/>
      </c>
      <c r="M194" s="101" t="str">
        <f t="shared" si="78"/>
        <v/>
      </c>
      <c r="O194" s="100" t="str">
        <f t="shared" si="70"/>
        <v/>
      </c>
      <c r="P194" s="119" t="str">
        <f>IF('Temperature in bundle'!$P$4="Current = 1A per pair",2,IF($A194="","",('Temperature in bundle'!$Q$6-('Temperature in bundle'!$Q$6^2-4*(O194+Q$7)*'Temperature in bundle'!$Q$7)^0.5)/2/(O194+Q$7)))</f>
        <v/>
      </c>
      <c r="Q194" s="98" t="str">
        <f t="shared" si="71"/>
        <v/>
      </c>
      <c r="R194" s="101" t="str">
        <f t="shared" si="79"/>
        <v/>
      </c>
      <c r="T194" s="100" t="str">
        <f t="shared" si="72"/>
        <v/>
      </c>
      <c r="U194" s="119" t="str">
        <f>IF('Temperature in bundle'!$P$4="Current = 1A per pair",2,IF($A194="","",('Temperature in bundle'!$Q$6-('Temperature in bundle'!$Q$6^2-4*(T194+V$7)*'Temperature in bundle'!$Q$7)^0.5)/2/(T194+V$7)))</f>
        <v/>
      </c>
      <c r="V194" s="98" t="str">
        <f t="shared" si="73"/>
        <v/>
      </c>
      <c r="W194" s="101" t="str">
        <f t="shared" si="80"/>
        <v/>
      </c>
      <c r="Y194" s="100" t="str">
        <f t="shared" si="74"/>
        <v/>
      </c>
      <c r="Z194" s="119" t="str">
        <f>IF('Temperature in bundle'!$P$4="Current = 1A per pair",2,IF($A194="","",('Temperature in bundle'!$Q$6-('Temperature in bundle'!$Q$6^2-4*(Y194+AA$7)*'Temperature in bundle'!$Q$7)^0.5)/2/(Y194+AA$7)))</f>
        <v/>
      </c>
      <c r="AA194" s="98" t="str">
        <f t="shared" si="75"/>
        <v/>
      </c>
      <c r="AB194" s="101" t="str">
        <f t="shared" si="81"/>
        <v/>
      </c>
    </row>
    <row r="195" spans="1:28">
      <c r="A195" t="str">
        <f t="shared" si="82"/>
        <v/>
      </c>
      <c r="B195" s="113">
        <v>-6</v>
      </c>
      <c r="C195" s="113">
        <f>SQRT(3)/2*2</f>
        <v>1.7320508075688772</v>
      </c>
      <c r="D195" s="113">
        <f t="shared" si="84"/>
        <v>6.2449979983983983</v>
      </c>
      <c r="E195" s="113" t="str">
        <f t="shared" si="76"/>
        <v/>
      </c>
      <c r="F195" s="113" t="str">
        <f t="shared" si="76"/>
        <v/>
      </c>
      <c r="G195" s="113" t="str">
        <f t="shared" si="83"/>
        <v/>
      </c>
      <c r="J195" s="116" t="str">
        <f t="shared" si="77"/>
        <v/>
      </c>
      <c r="K195" s="119" t="str">
        <f t="shared" si="68"/>
        <v/>
      </c>
      <c r="L195" s="98" t="str">
        <f t="shared" si="69"/>
        <v/>
      </c>
      <c r="M195" s="101" t="str">
        <f t="shared" si="78"/>
        <v/>
      </c>
      <c r="O195" s="100" t="str">
        <f t="shared" si="70"/>
        <v/>
      </c>
      <c r="P195" s="119" t="str">
        <f>IF('Temperature in bundle'!$P$4="Current = 1A per pair",2,IF($A195="","",('Temperature in bundle'!$Q$6-('Temperature in bundle'!$Q$6^2-4*(O195+Q$7)*'Temperature in bundle'!$Q$7)^0.5)/2/(O195+Q$7)))</f>
        <v/>
      </c>
      <c r="Q195" s="98" t="str">
        <f t="shared" si="71"/>
        <v/>
      </c>
      <c r="R195" s="101" t="str">
        <f t="shared" si="79"/>
        <v/>
      </c>
      <c r="T195" s="100" t="str">
        <f t="shared" si="72"/>
        <v/>
      </c>
      <c r="U195" s="119" t="str">
        <f>IF('Temperature in bundle'!$P$4="Current = 1A per pair",2,IF($A195="","",('Temperature in bundle'!$Q$6-('Temperature in bundle'!$Q$6^2-4*(T195+V$7)*'Temperature in bundle'!$Q$7)^0.5)/2/(T195+V$7)))</f>
        <v/>
      </c>
      <c r="V195" s="98" t="str">
        <f t="shared" si="73"/>
        <v/>
      </c>
      <c r="W195" s="101" t="str">
        <f t="shared" si="80"/>
        <v/>
      </c>
      <c r="Y195" s="100" t="str">
        <f t="shared" si="74"/>
        <v/>
      </c>
      <c r="Z195" s="119" t="str">
        <f>IF('Temperature in bundle'!$P$4="Current = 1A per pair",2,IF($A195="","",('Temperature in bundle'!$Q$6-('Temperature in bundle'!$Q$6^2-4*(Y195+AA$7)*'Temperature in bundle'!$Q$7)^0.5)/2/(Y195+AA$7)))</f>
        <v/>
      </c>
      <c r="AA195" s="98" t="str">
        <f t="shared" si="75"/>
        <v/>
      </c>
      <c r="AB195" s="101" t="str">
        <f t="shared" si="81"/>
        <v/>
      </c>
    </row>
    <row r="196" spans="1:28">
      <c r="A196" t="str">
        <f t="shared" si="82"/>
        <v/>
      </c>
      <c r="B196" s="113">
        <v>-6</v>
      </c>
      <c r="C196" s="113">
        <f>(SQRT(3)/2*2)*-1</f>
        <v>-1.7320508075688772</v>
      </c>
      <c r="D196" s="113">
        <f t="shared" si="84"/>
        <v>6.2449979983983983</v>
      </c>
      <c r="E196" s="113" t="str">
        <f t="shared" si="76"/>
        <v/>
      </c>
      <c r="F196" s="113" t="str">
        <f t="shared" si="76"/>
        <v/>
      </c>
      <c r="G196" s="113" t="str">
        <f t="shared" si="83"/>
        <v/>
      </c>
      <c r="J196" s="116" t="str">
        <f t="shared" si="77"/>
        <v/>
      </c>
      <c r="K196" s="119" t="str">
        <f t="shared" si="68"/>
        <v/>
      </c>
      <c r="L196" s="98" t="str">
        <f t="shared" si="69"/>
        <v/>
      </c>
      <c r="M196" s="101" t="str">
        <f t="shared" si="78"/>
        <v/>
      </c>
      <c r="O196" s="100" t="str">
        <f t="shared" si="70"/>
        <v/>
      </c>
      <c r="P196" s="119" t="str">
        <f>IF('Temperature in bundle'!$P$4="Current = 1A per pair",2,IF($A196="","",('Temperature in bundle'!$Q$6-('Temperature in bundle'!$Q$6^2-4*(O196+Q$7)*'Temperature in bundle'!$Q$7)^0.5)/2/(O196+Q$7)))</f>
        <v/>
      </c>
      <c r="Q196" s="98" t="str">
        <f t="shared" si="71"/>
        <v/>
      </c>
      <c r="R196" s="101" t="str">
        <f t="shared" si="79"/>
        <v/>
      </c>
      <c r="T196" s="100" t="str">
        <f t="shared" si="72"/>
        <v/>
      </c>
      <c r="U196" s="119" t="str">
        <f>IF('Temperature in bundle'!$P$4="Current = 1A per pair",2,IF($A196="","",('Temperature in bundle'!$Q$6-('Temperature in bundle'!$Q$6^2-4*(T196+V$7)*'Temperature in bundle'!$Q$7)^0.5)/2/(T196+V$7)))</f>
        <v/>
      </c>
      <c r="V196" s="98" t="str">
        <f t="shared" si="73"/>
        <v/>
      </c>
      <c r="W196" s="101" t="str">
        <f t="shared" si="80"/>
        <v/>
      </c>
      <c r="Y196" s="100" t="str">
        <f t="shared" si="74"/>
        <v/>
      </c>
      <c r="Z196" s="119" t="str">
        <f>IF('Temperature in bundle'!$P$4="Current = 1A per pair",2,IF($A196="","",('Temperature in bundle'!$Q$6-('Temperature in bundle'!$Q$6^2-4*(Y196+AA$7)*'Temperature in bundle'!$Q$7)^0.5)/2/(Y196+AA$7)))</f>
        <v/>
      </c>
      <c r="AA196" s="98" t="str">
        <f t="shared" si="75"/>
        <v/>
      </c>
      <c r="AB196" s="101" t="str">
        <f t="shared" si="81"/>
        <v/>
      </c>
    </row>
    <row r="197" spans="1:28">
      <c r="A197" t="str">
        <f t="shared" si="82"/>
        <v/>
      </c>
      <c r="B197" s="113">
        <v>-4.5</v>
      </c>
      <c r="C197" s="113">
        <f>(SQRT(3)/2*5)*-1</f>
        <v>-4.3301270189221928</v>
      </c>
      <c r="D197" s="113">
        <f t="shared" si="84"/>
        <v>6.2449979983983983</v>
      </c>
      <c r="E197" s="113" t="str">
        <f t="shared" si="76"/>
        <v/>
      </c>
      <c r="F197" s="113" t="str">
        <f t="shared" si="76"/>
        <v/>
      </c>
      <c r="G197" s="113" t="str">
        <f t="shared" si="83"/>
        <v/>
      </c>
      <c r="J197" s="116" t="str">
        <f t="shared" si="77"/>
        <v/>
      </c>
      <c r="K197" s="119" t="str">
        <f t="shared" si="68"/>
        <v/>
      </c>
      <c r="L197" s="98" t="str">
        <f t="shared" si="69"/>
        <v/>
      </c>
      <c r="M197" s="101" t="str">
        <f t="shared" si="78"/>
        <v/>
      </c>
      <c r="O197" s="100" t="str">
        <f t="shared" si="70"/>
        <v/>
      </c>
      <c r="P197" s="119" t="str">
        <f>IF('Temperature in bundle'!$P$4="Current = 1A per pair",2,IF($A197="","",('Temperature in bundle'!$Q$6-('Temperature in bundle'!$Q$6^2-4*(O197+Q$7)*'Temperature in bundle'!$Q$7)^0.5)/2/(O197+Q$7)))</f>
        <v/>
      </c>
      <c r="Q197" s="98" t="str">
        <f t="shared" si="71"/>
        <v/>
      </c>
      <c r="R197" s="101" t="str">
        <f t="shared" si="79"/>
        <v/>
      </c>
      <c r="T197" s="100" t="str">
        <f t="shared" si="72"/>
        <v/>
      </c>
      <c r="U197" s="119" t="str">
        <f>IF('Temperature in bundle'!$P$4="Current = 1A per pair",2,IF($A197="","",('Temperature in bundle'!$Q$6-('Temperature in bundle'!$Q$6^2-4*(T197+V$7)*'Temperature in bundle'!$Q$7)^0.5)/2/(T197+V$7)))</f>
        <v/>
      </c>
      <c r="V197" s="98" t="str">
        <f t="shared" si="73"/>
        <v/>
      </c>
      <c r="W197" s="101" t="str">
        <f t="shared" si="80"/>
        <v/>
      </c>
      <c r="Y197" s="100" t="str">
        <f t="shared" si="74"/>
        <v/>
      </c>
      <c r="Z197" s="119" t="str">
        <f>IF('Temperature in bundle'!$P$4="Current = 1A per pair",2,IF($A197="","",('Temperature in bundle'!$Q$6-('Temperature in bundle'!$Q$6^2-4*(Y197+AA$7)*'Temperature in bundle'!$Q$7)^0.5)/2/(Y197+AA$7)))</f>
        <v/>
      </c>
      <c r="AA197" s="98" t="str">
        <f t="shared" si="75"/>
        <v/>
      </c>
      <c r="AB197" s="101" t="str">
        <f t="shared" si="81"/>
        <v/>
      </c>
    </row>
    <row r="198" spans="1:28">
      <c r="A198" t="str">
        <f t="shared" si="82"/>
        <v/>
      </c>
      <c r="B198" s="113">
        <v>-1.5</v>
      </c>
      <c r="C198" s="113">
        <f>(SQRT(3)/2*7)*-1</f>
        <v>-6.0621778264910704</v>
      </c>
      <c r="D198" s="113">
        <f t="shared" si="84"/>
        <v>6.2449979983983983</v>
      </c>
      <c r="E198" s="113" t="str">
        <f t="shared" si="76"/>
        <v/>
      </c>
      <c r="F198" s="113" t="str">
        <f t="shared" si="76"/>
        <v/>
      </c>
      <c r="G198" s="113" t="str">
        <f t="shared" si="83"/>
        <v/>
      </c>
      <c r="J198" s="116" t="str">
        <f t="shared" si="77"/>
        <v/>
      </c>
      <c r="K198" s="119" t="str">
        <f t="shared" si="68"/>
        <v/>
      </c>
      <c r="L198" s="98" t="str">
        <f t="shared" si="69"/>
        <v/>
      </c>
      <c r="M198" s="101" t="str">
        <f t="shared" si="78"/>
        <v/>
      </c>
      <c r="O198" s="100" t="str">
        <f t="shared" si="70"/>
        <v/>
      </c>
      <c r="P198" s="119" t="str">
        <f>IF('Temperature in bundle'!$P$4="Current = 1A per pair",2,IF($A198="","",('Temperature in bundle'!$Q$6-('Temperature in bundle'!$Q$6^2-4*(O198+Q$7)*'Temperature in bundle'!$Q$7)^0.5)/2/(O198+Q$7)))</f>
        <v/>
      </c>
      <c r="Q198" s="98" t="str">
        <f t="shared" si="71"/>
        <v/>
      </c>
      <c r="R198" s="101" t="str">
        <f t="shared" si="79"/>
        <v/>
      </c>
      <c r="T198" s="100" t="str">
        <f t="shared" si="72"/>
        <v/>
      </c>
      <c r="U198" s="119" t="str">
        <f>IF('Temperature in bundle'!$P$4="Current = 1A per pair",2,IF($A198="","",('Temperature in bundle'!$Q$6-('Temperature in bundle'!$Q$6^2-4*(T198+V$7)*'Temperature in bundle'!$Q$7)^0.5)/2/(T198+V$7)))</f>
        <v/>
      </c>
      <c r="V198" s="98" t="str">
        <f t="shared" si="73"/>
        <v/>
      </c>
      <c r="W198" s="101" t="str">
        <f t="shared" si="80"/>
        <v/>
      </c>
      <c r="Y198" s="100" t="str">
        <f t="shared" si="74"/>
        <v/>
      </c>
      <c r="Z198" s="119" t="str">
        <f>IF('Temperature in bundle'!$P$4="Current = 1A per pair",2,IF($A198="","",('Temperature in bundle'!$Q$6-('Temperature in bundle'!$Q$6^2-4*(Y198+AA$7)*'Temperature in bundle'!$Q$7)^0.5)/2/(Y198+AA$7)))</f>
        <v/>
      </c>
      <c r="AA198" s="98" t="str">
        <f t="shared" si="75"/>
        <v/>
      </c>
      <c r="AB198" s="101" t="str">
        <f t="shared" si="81"/>
        <v/>
      </c>
    </row>
    <row r="199" spans="1:28">
      <c r="A199" t="str">
        <f t="shared" si="82"/>
        <v/>
      </c>
      <c r="B199" s="113">
        <v>1.5</v>
      </c>
      <c r="C199" s="113">
        <f>(SQRT(3)/2*7)*-1</f>
        <v>-6.0621778264910704</v>
      </c>
      <c r="D199" s="113">
        <f t="shared" si="84"/>
        <v>6.2449979983983983</v>
      </c>
      <c r="E199" s="113" t="str">
        <f t="shared" si="76"/>
        <v/>
      </c>
      <c r="F199" s="113" t="str">
        <f t="shared" si="76"/>
        <v/>
      </c>
      <c r="G199" s="113" t="str">
        <f t="shared" si="83"/>
        <v/>
      </c>
      <c r="J199" s="116" t="str">
        <f t="shared" si="77"/>
        <v/>
      </c>
      <c r="K199" s="119" t="str">
        <f t="shared" si="68"/>
        <v/>
      </c>
      <c r="L199" s="98" t="str">
        <f t="shared" si="69"/>
        <v/>
      </c>
      <c r="M199" s="101" t="str">
        <f t="shared" si="78"/>
        <v/>
      </c>
      <c r="O199" s="100" t="str">
        <f t="shared" si="70"/>
        <v/>
      </c>
      <c r="P199" s="119" t="str">
        <f>IF('Temperature in bundle'!$P$4="Current = 1A per pair",2,IF($A199="","",('Temperature in bundle'!$Q$6-('Temperature in bundle'!$Q$6^2-4*(O199+Q$7)*'Temperature in bundle'!$Q$7)^0.5)/2/(O199+Q$7)))</f>
        <v/>
      </c>
      <c r="Q199" s="98" t="str">
        <f t="shared" si="71"/>
        <v/>
      </c>
      <c r="R199" s="101" t="str">
        <f t="shared" si="79"/>
        <v/>
      </c>
      <c r="T199" s="100" t="str">
        <f t="shared" si="72"/>
        <v/>
      </c>
      <c r="U199" s="119" t="str">
        <f>IF('Temperature in bundle'!$P$4="Current = 1A per pair",2,IF($A199="","",('Temperature in bundle'!$Q$6-('Temperature in bundle'!$Q$6^2-4*(T199+V$7)*'Temperature in bundle'!$Q$7)^0.5)/2/(T199+V$7)))</f>
        <v/>
      </c>
      <c r="V199" s="98" t="str">
        <f t="shared" si="73"/>
        <v/>
      </c>
      <c r="W199" s="101" t="str">
        <f t="shared" si="80"/>
        <v/>
      </c>
      <c r="Y199" s="100" t="str">
        <f t="shared" si="74"/>
        <v/>
      </c>
      <c r="Z199" s="119" t="str">
        <f>IF('Temperature in bundle'!$P$4="Current = 1A per pair",2,IF($A199="","",('Temperature in bundle'!$Q$6-('Temperature in bundle'!$Q$6^2-4*(Y199+AA$7)*'Temperature in bundle'!$Q$7)^0.5)/2/(Y199+AA$7)))</f>
        <v/>
      </c>
      <c r="AA199" s="98" t="str">
        <f t="shared" si="75"/>
        <v/>
      </c>
      <c r="AB199" s="101" t="str">
        <f t="shared" si="81"/>
        <v/>
      </c>
    </row>
    <row r="200" spans="1:28">
      <c r="A200" t="str">
        <f t="shared" si="82"/>
        <v/>
      </c>
      <c r="B200" s="113">
        <v>4.5</v>
      </c>
      <c r="C200" s="113">
        <f>(SQRT(3)/2*5)*-1</f>
        <v>-4.3301270189221928</v>
      </c>
      <c r="D200" s="113">
        <f t="shared" si="84"/>
        <v>6.2449979983983983</v>
      </c>
      <c r="E200" s="113" t="str">
        <f t="shared" si="76"/>
        <v/>
      </c>
      <c r="F200" s="113" t="str">
        <f t="shared" si="76"/>
        <v/>
      </c>
      <c r="G200" s="113" t="str">
        <f t="shared" si="83"/>
        <v/>
      </c>
      <c r="J200" s="116" t="str">
        <f t="shared" si="77"/>
        <v/>
      </c>
      <c r="K200" s="119" t="str">
        <f t="shared" si="68"/>
        <v/>
      </c>
      <c r="L200" s="98" t="str">
        <f t="shared" si="69"/>
        <v/>
      </c>
      <c r="M200" s="101" t="str">
        <f t="shared" si="78"/>
        <v/>
      </c>
      <c r="O200" s="100" t="str">
        <f t="shared" si="70"/>
        <v/>
      </c>
      <c r="P200" s="119" t="str">
        <f>IF('Temperature in bundle'!$P$4="Current = 1A per pair",2,IF($A200="","",('Temperature in bundle'!$Q$6-('Temperature in bundle'!$Q$6^2-4*(O200+Q$7)*'Temperature in bundle'!$Q$7)^0.5)/2/(O200+Q$7)))</f>
        <v/>
      </c>
      <c r="Q200" s="98" t="str">
        <f t="shared" si="71"/>
        <v/>
      </c>
      <c r="R200" s="101" t="str">
        <f t="shared" si="79"/>
        <v/>
      </c>
      <c r="T200" s="100" t="str">
        <f t="shared" si="72"/>
        <v/>
      </c>
      <c r="U200" s="119" t="str">
        <f>IF('Temperature in bundle'!$P$4="Current = 1A per pair",2,IF($A200="","",('Temperature in bundle'!$Q$6-('Temperature in bundle'!$Q$6^2-4*(T200+V$7)*'Temperature in bundle'!$Q$7)^0.5)/2/(T200+V$7)))</f>
        <v/>
      </c>
      <c r="V200" s="98" t="str">
        <f t="shared" si="73"/>
        <v/>
      </c>
      <c r="W200" s="101" t="str">
        <f t="shared" si="80"/>
        <v/>
      </c>
      <c r="Y200" s="100" t="str">
        <f t="shared" si="74"/>
        <v/>
      </c>
      <c r="Z200" s="119" t="str">
        <f>IF('Temperature in bundle'!$P$4="Current = 1A per pair",2,IF($A200="","",('Temperature in bundle'!$Q$6-('Temperature in bundle'!$Q$6^2-4*(Y200+AA$7)*'Temperature in bundle'!$Q$7)^0.5)/2/(Y200+AA$7)))</f>
        <v/>
      </c>
      <c r="AA200" s="98" t="str">
        <f t="shared" si="75"/>
        <v/>
      </c>
      <c r="AB200" s="101" t="str">
        <f t="shared" si="81"/>
        <v/>
      </c>
    </row>
    <row r="201" spans="1:28">
      <c r="A201" t="str">
        <f t="shared" si="82"/>
        <v/>
      </c>
      <c r="B201" s="113">
        <v>6</v>
      </c>
      <c r="C201" s="113">
        <f>(SQRT(3)/2*2)*-1</f>
        <v>-1.7320508075688772</v>
      </c>
      <c r="D201" s="113">
        <f t="shared" si="84"/>
        <v>6.2449979983983983</v>
      </c>
      <c r="E201" s="113" t="str">
        <f t="shared" si="76"/>
        <v/>
      </c>
      <c r="F201" s="113" t="str">
        <f t="shared" si="76"/>
        <v/>
      </c>
      <c r="G201" s="113" t="str">
        <f t="shared" si="83"/>
        <v/>
      </c>
      <c r="J201" s="116" t="str">
        <f t="shared" si="77"/>
        <v/>
      </c>
      <c r="K201" s="119" t="str">
        <f t="shared" si="68"/>
        <v/>
      </c>
      <c r="L201" s="98" t="str">
        <f t="shared" si="69"/>
        <v/>
      </c>
      <c r="M201" s="101" t="str">
        <f t="shared" si="78"/>
        <v/>
      </c>
      <c r="O201" s="100" t="str">
        <f t="shared" si="70"/>
        <v/>
      </c>
      <c r="P201" s="119" t="str">
        <f>IF('Temperature in bundle'!$P$4="Current = 1A per pair",2,IF($A201="","",('Temperature in bundle'!$Q$6-('Temperature in bundle'!$Q$6^2-4*(O201+Q$7)*'Temperature in bundle'!$Q$7)^0.5)/2/(O201+Q$7)))</f>
        <v/>
      </c>
      <c r="Q201" s="98" t="str">
        <f t="shared" si="71"/>
        <v/>
      </c>
      <c r="R201" s="101" t="str">
        <f t="shared" si="79"/>
        <v/>
      </c>
      <c r="T201" s="100" t="str">
        <f t="shared" si="72"/>
        <v/>
      </c>
      <c r="U201" s="119" t="str">
        <f>IF('Temperature in bundle'!$P$4="Current = 1A per pair",2,IF($A201="","",('Temperature in bundle'!$Q$6-('Temperature in bundle'!$Q$6^2-4*(T201+V$7)*'Temperature in bundle'!$Q$7)^0.5)/2/(T201+V$7)))</f>
        <v/>
      </c>
      <c r="V201" s="98" t="str">
        <f t="shared" si="73"/>
        <v/>
      </c>
      <c r="W201" s="101" t="str">
        <f t="shared" si="80"/>
        <v/>
      </c>
      <c r="Y201" s="100" t="str">
        <f t="shared" si="74"/>
        <v/>
      </c>
      <c r="Z201" s="119" t="str">
        <f>IF('Temperature in bundle'!$P$4="Current = 1A per pair",2,IF($A201="","",('Temperature in bundle'!$Q$6-('Temperature in bundle'!$Q$6^2-4*(Y201+AA$7)*'Temperature in bundle'!$Q$7)^0.5)/2/(Y201+AA$7)))</f>
        <v/>
      </c>
      <c r="AA201" s="98" t="str">
        <f t="shared" si="75"/>
        <v/>
      </c>
      <c r="AB201" s="101" t="str">
        <f t="shared" si="81"/>
        <v/>
      </c>
    </row>
    <row r="202" spans="1:28">
      <c r="A202" t="str">
        <f t="shared" si="82"/>
        <v/>
      </c>
      <c r="B202" s="113">
        <v>6.5</v>
      </c>
      <c r="C202" s="113">
        <f>SQRT(3)/2</f>
        <v>0.8660254037844386</v>
      </c>
      <c r="D202" s="113">
        <f t="shared" si="84"/>
        <v>6.5574385243020004</v>
      </c>
      <c r="E202" s="113" t="str">
        <f t="shared" si="76"/>
        <v/>
      </c>
      <c r="F202" s="113" t="str">
        <f t="shared" si="76"/>
        <v/>
      </c>
      <c r="G202" s="113" t="str">
        <f t="shared" si="83"/>
        <v/>
      </c>
      <c r="J202" s="116" t="str">
        <f t="shared" si="77"/>
        <v/>
      </c>
      <c r="K202" s="119" t="str">
        <f t="shared" si="68"/>
        <v/>
      </c>
      <c r="L202" s="98" t="str">
        <f t="shared" si="69"/>
        <v/>
      </c>
      <c r="M202" s="101" t="str">
        <f t="shared" si="78"/>
        <v/>
      </c>
      <c r="O202" s="100" t="str">
        <f t="shared" si="70"/>
        <v/>
      </c>
      <c r="P202" s="119" t="str">
        <f>IF('Temperature in bundle'!$P$4="Current = 1A per pair",2,IF($A202="","",('Temperature in bundle'!$Q$6-('Temperature in bundle'!$Q$6^2-4*(O202+Q$7)*'Temperature in bundle'!$Q$7)^0.5)/2/(O202+Q$7)))</f>
        <v/>
      </c>
      <c r="Q202" s="98" t="str">
        <f t="shared" si="71"/>
        <v/>
      </c>
      <c r="R202" s="101" t="str">
        <f t="shared" si="79"/>
        <v/>
      </c>
      <c r="T202" s="100" t="str">
        <f t="shared" si="72"/>
        <v/>
      </c>
      <c r="U202" s="119" t="str">
        <f>IF('Temperature in bundle'!$P$4="Current = 1A per pair",2,IF($A202="","",('Temperature in bundle'!$Q$6-('Temperature in bundle'!$Q$6^2-4*(T202+V$7)*'Temperature in bundle'!$Q$7)^0.5)/2/(T202+V$7)))</f>
        <v/>
      </c>
      <c r="V202" s="98" t="str">
        <f t="shared" si="73"/>
        <v/>
      </c>
      <c r="W202" s="101" t="str">
        <f t="shared" si="80"/>
        <v/>
      </c>
      <c r="Y202" s="100" t="str">
        <f t="shared" si="74"/>
        <v/>
      </c>
      <c r="Z202" s="119" t="str">
        <f>IF('Temperature in bundle'!$P$4="Current = 1A per pair",2,IF($A202="","",('Temperature in bundle'!$Q$6-('Temperature in bundle'!$Q$6^2-4*(Y202+AA$7)*'Temperature in bundle'!$Q$7)^0.5)/2/(Y202+AA$7)))</f>
        <v/>
      </c>
      <c r="AA202" s="98" t="str">
        <f t="shared" si="75"/>
        <v/>
      </c>
      <c r="AB202" s="101" t="str">
        <f t="shared" si="81"/>
        <v/>
      </c>
    </row>
    <row r="203" spans="1:28">
      <c r="A203" t="str">
        <f t="shared" si="82"/>
        <v/>
      </c>
      <c r="B203" s="113">
        <v>4</v>
      </c>
      <c r="C203" s="113">
        <f>SQRT(3)/2*6</f>
        <v>5.196152422706632</v>
      </c>
      <c r="D203" s="113">
        <f t="shared" si="84"/>
        <v>6.5574385243020004</v>
      </c>
      <c r="E203" s="113" t="str">
        <f t="shared" si="76"/>
        <v/>
      </c>
      <c r="F203" s="113" t="str">
        <f t="shared" si="76"/>
        <v/>
      </c>
      <c r="G203" s="113" t="str">
        <f t="shared" si="83"/>
        <v/>
      </c>
      <c r="J203" s="116" t="str">
        <f t="shared" si="77"/>
        <v/>
      </c>
      <c r="K203" s="119" t="str">
        <f t="shared" si="68"/>
        <v/>
      </c>
      <c r="L203" s="98" t="str">
        <f t="shared" si="69"/>
        <v/>
      </c>
      <c r="M203" s="101" t="str">
        <f t="shared" si="78"/>
        <v/>
      </c>
      <c r="O203" s="100" t="str">
        <f t="shared" si="70"/>
        <v/>
      </c>
      <c r="P203" s="119" t="str">
        <f>IF('Temperature in bundle'!$P$4="Current = 1A per pair",2,IF($A203="","",('Temperature in bundle'!$Q$6-('Temperature in bundle'!$Q$6^2-4*(O203+Q$7)*'Temperature in bundle'!$Q$7)^0.5)/2/(O203+Q$7)))</f>
        <v/>
      </c>
      <c r="Q203" s="98" t="str">
        <f t="shared" si="71"/>
        <v/>
      </c>
      <c r="R203" s="101" t="str">
        <f t="shared" si="79"/>
        <v/>
      </c>
      <c r="T203" s="100" t="str">
        <f t="shared" si="72"/>
        <v/>
      </c>
      <c r="U203" s="119" t="str">
        <f>IF('Temperature in bundle'!$P$4="Current = 1A per pair",2,IF($A203="","",('Temperature in bundle'!$Q$6-('Temperature in bundle'!$Q$6^2-4*(T203+V$7)*'Temperature in bundle'!$Q$7)^0.5)/2/(T203+V$7)))</f>
        <v/>
      </c>
      <c r="V203" s="98" t="str">
        <f t="shared" si="73"/>
        <v/>
      </c>
      <c r="W203" s="101" t="str">
        <f t="shared" si="80"/>
        <v/>
      </c>
      <c r="Y203" s="100" t="str">
        <f t="shared" si="74"/>
        <v/>
      </c>
      <c r="Z203" s="119" t="str">
        <f>IF('Temperature in bundle'!$P$4="Current = 1A per pair",2,IF($A203="","",('Temperature in bundle'!$Q$6-('Temperature in bundle'!$Q$6^2-4*(Y203+AA$7)*'Temperature in bundle'!$Q$7)^0.5)/2/(Y203+AA$7)))</f>
        <v/>
      </c>
      <c r="AA203" s="98" t="str">
        <f t="shared" si="75"/>
        <v/>
      </c>
      <c r="AB203" s="101" t="str">
        <f t="shared" si="81"/>
        <v/>
      </c>
    </row>
    <row r="204" spans="1:28">
      <c r="A204" t="str">
        <f t="shared" si="82"/>
        <v/>
      </c>
      <c r="B204" s="113">
        <v>2.5</v>
      </c>
      <c r="C204" s="113">
        <f>SQRT(3)/2*7</f>
        <v>6.0621778264910704</v>
      </c>
      <c r="D204" s="113">
        <f t="shared" si="84"/>
        <v>6.5574385243020004</v>
      </c>
      <c r="E204" s="113" t="str">
        <f t="shared" si="76"/>
        <v/>
      </c>
      <c r="F204" s="113" t="str">
        <f t="shared" si="76"/>
        <v/>
      </c>
      <c r="G204" s="113" t="str">
        <f t="shared" si="83"/>
        <v/>
      </c>
      <c r="J204" s="116" t="str">
        <f t="shared" si="77"/>
        <v/>
      </c>
      <c r="K204" s="119" t="str">
        <f t="shared" si="68"/>
        <v/>
      </c>
      <c r="L204" s="98" t="str">
        <f t="shared" si="69"/>
        <v/>
      </c>
      <c r="M204" s="101" t="str">
        <f t="shared" si="78"/>
        <v/>
      </c>
      <c r="O204" s="100" t="str">
        <f t="shared" si="70"/>
        <v/>
      </c>
      <c r="P204" s="119" t="str">
        <f>IF('Temperature in bundle'!$P$4="Current = 1A per pair",2,IF($A204="","",('Temperature in bundle'!$Q$6-('Temperature in bundle'!$Q$6^2-4*(O204+Q$7)*'Temperature in bundle'!$Q$7)^0.5)/2/(O204+Q$7)))</f>
        <v/>
      </c>
      <c r="Q204" s="98" t="str">
        <f t="shared" si="71"/>
        <v/>
      </c>
      <c r="R204" s="101" t="str">
        <f t="shared" si="79"/>
        <v/>
      </c>
      <c r="T204" s="100" t="str">
        <f t="shared" si="72"/>
        <v/>
      </c>
      <c r="U204" s="119" t="str">
        <f>IF('Temperature in bundle'!$P$4="Current = 1A per pair",2,IF($A204="","",('Temperature in bundle'!$Q$6-('Temperature in bundle'!$Q$6^2-4*(T204+V$7)*'Temperature in bundle'!$Q$7)^0.5)/2/(T204+V$7)))</f>
        <v/>
      </c>
      <c r="V204" s="98" t="str">
        <f t="shared" si="73"/>
        <v/>
      </c>
      <c r="W204" s="101" t="str">
        <f t="shared" si="80"/>
        <v/>
      </c>
      <c r="Y204" s="100" t="str">
        <f t="shared" si="74"/>
        <v/>
      </c>
      <c r="Z204" s="119" t="str">
        <f>IF('Temperature in bundle'!$P$4="Current = 1A per pair",2,IF($A204="","",('Temperature in bundle'!$Q$6-('Temperature in bundle'!$Q$6^2-4*(Y204+AA$7)*'Temperature in bundle'!$Q$7)^0.5)/2/(Y204+AA$7)))</f>
        <v/>
      </c>
      <c r="AA204" s="98" t="str">
        <f t="shared" si="75"/>
        <v/>
      </c>
      <c r="AB204" s="101" t="str">
        <f t="shared" si="81"/>
        <v/>
      </c>
    </row>
    <row r="205" spans="1:28">
      <c r="A205" t="str">
        <f t="shared" si="82"/>
        <v/>
      </c>
      <c r="B205" s="113">
        <v>-2.5</v>
      </c>
      <c r="C205" s="113">
        <f>SQRT(3)/2*7</f>
        <v>6.0621778264910704</v>
      </c>
      <c r="D205" s="113">
        <f t="shared" si="84"/>
        <v>6.5574385243020004</v>
      </c>
      <c r="E205" s="113" t="str">
        <f t="shared" si="76"/>
        <v/>
      </c>
      <c r="F205" s="113" t="str">
        <f t="shared" si="76"/>
        <v/>
      </c>
      <c r="G205" s="113" t="str">
        <f t="shared" si="83"/>
        <v/>
      </c>
      <c r="J205" s="116" t="str">
        <f t="shared" si="77"/>
        <v/>
      </c>
      <c r="K205" s="119" t="str">
        <f t="shared" si="68"/>
        <v/>
      </c>
      <c r="L205" s="98" t="str">
        <f t="shared" si="69"/>
        <v/>
      </c>
      <c r="M205" s="101" t="str">
        <f t="shared" si="78"/>
        <v/>
      </c>
      <c r="O205" s="100" t="str">
        <f t="shared" si="70"/>
        <v/>
      </c>
      <c r="P205" s="119" t="str">
        <f>IF('Temperature in bundle'!$P$4="Current = 1A per pair",2,IF($A205="","",('Temperature in bundle'!$Q$6-('Temperature in bundle'!$Q$6^2-4*(O205+Q$7)*'Temperature in bundle'!$Q$7)^0.5)/2/(O205+Q$7)))</f>
        <v/>
      </c>
      <c r="Q205" s="98" t="str">
        <f t="shared" si="71"/>
        <v/>
      </c>
      <c r="R205" s="101" t="str">
        <f t="shared" si="79"/>
        <v/>
      </c>
      <c r="T205" s="100" t="str">
        <f t="shared" si="72"/>
        <v/>
      </c>
      <c r="U205" s="119" t="str">
        <f>IF('Temperature in bundle'!$P$4="Current = 1A per pair",2,IF($A205="","",('Temperature in bundle'!$Q$6-('Temperature in bundle'!$Q$6^2-4*(T205+V$7)*'Temperature in bundle'!$Q$7)^0.5)/2/(T205+V$7)))</f>
        <v/>
      </c>
      <c r="V205" s="98" t="str">
        <f t="shared" si="73"/>
        <v/>
      </c>
      <c r="W205" s="101" t="str">
        <f t="shared" si="80"/>
        <v/>
      </c>
      <c r="Y205" s="100" t="str">
        <f t="shared" si="74"/>
        <v/>
      </c>
      <c r="Z205" s="119" t="str">
        <f>IF('Temperature in bundle'!$P$4="Current = 1A per pair",2,IF($A205="","",('Temperature in bundle'!$Q$6-('Temperature in bundle'!$Q$6^2-4*(Y205+AA$7)*'Temperature in bundle'!$Q$7)^0.5)/2/(Y205+AA$7)))</f>
        <v/>
      </c>
      <c r="AA205" s="98" t="str">
        <f t="shared" si="75"/>
        <v/>
      </c>
      <c r="AB205" s="101" t="str">
        <f t="shared" si="81"/>
        <v/>
      </c>
    </row>
    <row r="206" spans="1:28">
      <c r="A206" t="str">
        <f t="shared" si="82"/>
        <v/>
      </c>
      <c r="B206" s="113">
        <v>-4</v>
      </c>
      <c r="C206" s="113">
        <f>SQRT(3)/2*6</f>
        <v>5.196152422706632</v>
      </c>
      <c r="D206" s="113">
        <f t="shared" si="84"/>
        <v>6.5574385243020004</v>
      </c>
      <c r="E206" s="113" t="str">
        <f t="shared" si="76"/>
        <v/>
      </c>
      <c r="F206" s="113" t="str">
        <f t="shared" si="76"/>
        <v/>
      </c>
      <c r="G206" s="113" t="str">
        <f t="shared" si="83"/>
        <v/>
      </c>
      <c r="J206" s="116" t="str">
        <f t="shared" si="77"/>
        <v/>
      </c>
      <c r="K206" s="119" t="str">
        <f t="shared" si="68"/>
        <v/>
      </c>
      <c r="L206" s="98" t="str">
        <f t="shared" si="69"/>
        <v/>
      </c>
      <c r="M206" s="101" t="str">
        <f t="shared" si="78"/>
        <v/>
      </c>
      <c r="O206" s="100" t="str">
        <f t="shared" si="70"/>
        <v/>
      </c>
      <c r="P206" s="119" t="str">
        <f>IF('Temperature in bundle'!$P$4="Current = 1A per pair",2,IF($A206="","",('Temperature in bundle'!$Q$6-('Temperature in bundle'!$Q$6^2-4*(O206+Q$7)*'Temperature in bundle'!$Q$7)^0.5)/2/(O206+Q$7)))</f>
        <v/>
      </c>
      <c r="Q206" s="98" t="str">
        <f t="shared" si="71"/>
        <v/>
      </c>
      <c r="R206" s="101" t="str">
        <f t="shared" si="79"/>
        <v/>
      </c>
      <c r="T206" s="100" t="str">
        <f t="shared" si="72"/>
        <v/>
      </c>
      <c r="U206" s="119" t="str">
        <f>IF('Temperature in bundle'!$P$4="Current = 1A per pair",2,IF($A206="","",('Temperature in bundle'!$Q$6-('Temperature in bundle'!$Q$6^2-4*(T206+V$7)*'Temperature in bundle'!$Q$7)^0.5)/2/(T206+V$7)))</f>
        <v/>
      </c>
      <c r="V206" s="98" t="str">
        <f t="shared" si="73"/>
        <v/>
      </c>
      <c r="W206" s="101" t="str">
        <f t="shared" si="80"/>
        <v/>
      </c>
      <c r="Y206" s="100" t="str">
        <f t="shared" si="74"/>
        <v/>
      </c>
      <c r="Z206" s="119" t="str">
        <f>IF('Temperature in bundle'!$P$4="Current = 1A per pair",2,IF($A206="","",('Temperature in bundle'!$Q$6-('Temperature in bundle'!$Q$6^2-4*(Y206+AA$7)*'Temperature in bundle'!$Q$7)^0.5)/2/(Y206+AA$7)))</f>
        <v/>
      </c>
      <c r="AA206" s="98" t="str">
        <f t="shared" si="75"/>
        <v/>
      </c>
      <c r="AB206" s="101" t="str">
        <f t="shared" si="81"/>
        <v/>
      </c>
    </row>
    <row r="207" spans="1:28">
      <c r="A207" t="str">
        <f t="shared" si="82"/>
        <v/>
      </c>
      <c r="B207" s="113">
        <v>-6.5</v>
      </c>
      <c r="C207" s="113">
        <f>SQRT(3)/2</f>
        <v>0.8660254037844386</v>
      </c>
      <c r="D207" s="113">
        <f t="shared" si="84"/>
        <v>6.5574385243020004</v>
      </c>
      <c r="E207" s="113" t="str">
        <f t="shared" si="76"/>
        <v/>
      </c>
      <c r="F207" s="113" t="str">
        <f t="shared" si="76"/>
        <v/>
      </c>
      <c r="G207" s="113" t="str">
        <f t="shared" si="83"/>
        <v/>
      </c>
      <c r="J207" s="116" t="str">
        <f t="shared" si="77"/>
        <v/>
      </c>
      <c r="K207" s="119" t="str">
        <f t="shared" si="68"/>
        <v/>
      </c>
      <c r="L207" s="98" t="str">
        <f t="shared" si="69"/>
        <v/>
      </c>
      <c r="M207" s="101" t="str">
        <f t="shared" si="78"/>
        <v/>
      </c>
      <c r="O207" s="100" t="str">
        <f t="shared" si="70"/>
        <v/>
      </c>
      <c r="P207" s="119" t="str">
        <f>IF('Temperature in bundle'!$P$4="Current = 1A per pair",2,IF($A207="","",('Temperature in bundle'!$Q$6-('Temperature in bundle'!$Q$6^2-4*(O207+Q$7)*'Temperature in bundle'!$Q$7)^0.5)/2/(O207+Q$7)))</f>
        <v/>
      </c>
      <c r="Q207" s="98" t="str">
        <f t="shared" si="71"/>
        <v/>
      </c>
      <c r="R207" s="101" t="str">
        <f t="shared" si="79"/>
        <v/>
      </c>
      <c r="T207" s="100" t="str">
        <f t="shared" si="72"/>
        <v/>
      </c>
      <c r="U207" s="119" t="str">
        <f>IF('Temperature in bundle'!$P$4="Current = 1A per pair",2,IF($A207="","",('Temperature in bundle'!$Q$6-('Temperature in bundle'!$Q$6^2-4*(T207+V$7)*'Temperature in bundle'!$Q$7)^0.5)/2/(T207+V$7)))</f>
        <v/>
      </c>
      <c r="V207" s="98" t="str">
        <f t="shared" si="73"/>
        <v/>
      </c>
      <c r="W207" s="101" t="str">
        <f t="shared" si="80"/>
        <v/>
      </c>
      <c r="Y207" s="100" t="str">
        <f t="shared" si="74"/>
        <v/>
      </c>
      <c r="Z207" s="119" t="str">
        <f>IF('Temperature in bundle'!$P$4="Current = 1A per pair",2,IF($A207="","",('Temperature in bundle'!$Q$6-('Temperature in bundle'!$Q$6^2-4*(Y207+AA$7)*'Temperature in bundle'!$Q$7)^0.5)/2/(Y207+AA$7)))</f>
        <v/>
      </c>
      <c r="AA207" s="98" t="str">
        <f t="shared" si="75"/>
        <v/>
      </c>
      <c r="AB207" s="101" t="str">
        <f t="shared" si="81"/>
        <v/>
      </c>
    </row>
    <row r="208" spans="1:28">
      <c r="A208" t="str">
        <f t="shared" si="82"/>
        <v/>
      </c>
      <c r="B208" s="113">
        <v>-6.5</v>
      </c>
      <c r="C208" s="113">
        <f>(SQRT(3)/2)*-1</f>
        <v>-0.8660254037844386</v>
      </c>
      <c r="D208" s="113">
        <f t="shared" si="84"/>
        <v>6.5574385243020004</v>
      </c>
      <c r="E208" s="113" t="str">
        <f t="shared" si="76"/>
        <v/>
      </c>
      <c r="F208" s="113" t="str">
        <f t="shared" si="76"/>
        <v/>
      </c>
      <c r="G208" s="113" t="str">
        <f t="shared" si="83"/>
        <v/>
      </c>
      <c r="J208" s="116" t="str">
        <f t="shared" si="77"/>
        <v/>
      </c>
      <c r="K208" s="119" t="str">
        <f t="shared" si="68"/>
        <v/>
      </c>
      <c r="L208" s="98" t="str">
        <f t="shared" si="69"/>
        <v/>
      </c>
      <c r="M208" s="101" t="str">
        <f t="shared" si="78"/>
        <v/>
      </c>
      <c r="O208" s="100" t="str">
        <f t="shared" si="70"/>
        <v/>
      </c>
      <c r="P208" s="119" t="str">
        <f>IF('Temperature in bundle'!$P$4="Current = 1A per pair",2,IF($A208="","",('Temperature in bundle'!$Q$6-('Temperature in bundle'!$Q$6^2-4*(O208+Q$7)*'Temperature in bundle'!$Q$7)^0.5)/2/(O208+Q$7)))</f>
        <v/>
      </c>
      <c r="Q208" s="98" t="str">
        <f t="shared" si="71"/>
        <v/>
      </c>
      <c r="R208" s="101" t="str">
        <f t="shared" si="79"/>
        <v/>
      </c>
      <c r="T208" s="100" t="str">
        <f t="shared" si="72"/>
        <v/>
      </c>
      <c r="U208" s="119" t="str">
        <f>IF('Temperature in bundle'!$P$4="Current = 1A per pair",2,IF($A208="","",('Temperature in bundle'!$Q$6-('Temperature in bundle'!$Q$6^2-4*(T208+V$7)*'Temperature in bundle'!$Q$7)^0.5)/2/(T208+V$7)))</f>
        <v/>
      </c>
      <c r="V208" s="98" t="str">
        <f t="shared" si="73"/>
        <v/>
      </c>
      <c r="W208" s="101" t="str">
        <f t="shared" si="80"/>
        <v/>
      </c>
      <c r="Y208" s="100" t="str">
        <f t="shared" si="74"/>
        <v/>
      </c>
      <c r="Z208" s="119" t="str">
        <f>IF('Temperature in bundle'!$P$4="Current = 1A per pair",2,IF($A208="","",('Temperature in bundle'!$Q$6-('Temperature in bundle'!$Q$6^2-4*(Y208+AA$7)*'Temperature in bundle'!$Q$7)^0.5)/2/(Y208+AA$7)))</f>
        <v/>
      </c>
      <c r="AA208" s="98" t="str">
        <f t="shared" si="75"/>
        <v/>
      </c>
      <c r="AB208" s="101" t="str">
        <f t="shared" si="81"/>
        <v/>
      </c>
    </row>
    <row r="209" spans="1:28">
      <c r="A209" t="str">
        <f t="shared" si="82"/>
        <v/>
      </c>
      <c r="B209" s="113">
        <v>-4</v>
      </c>
      <c r="C209" s="113">
        <f>(SQRT(3)/2*6)*-1</f>
        <v>-5.196152422706632</v>
      </c>
      <c r="D209" s="113">
        <f t="shared" si="84"/>
        <v>6.5574385243020004</v>
      </c>
      <c r="E209" s="113" t="str">
        <f t="shared" si="76"/>
        <v/>
      </c>
      <c r="F209" s="113" t="str">
        <f t="shared" si="76"/>
        <v/>
      </c>
      <c r="G209" s="113" t="str">
        <f t="shared" si="83"/>
        <v/>
      </c>
      <c r="J209" s="116" t="str">
        <f t="shared" si="77"/>
        <v/>
      </c>
      <c r="K209" s="119" t="str">
        <f t="shared" si="68"/>
        <v/>
      </c>
      <c r="L209" s="98" t="str">
        <f t="shared" si="69"/>
        <v/>
      </c>
      <c r="M209" s="101" t="str">
        <f t="shared" si="78"/>
        <v/>
      </c>
      <c r="O209" s="100" t="str">
        <f t="shared" si="70"/>
        <v/>
      </c>
      <c r="P209" s="119" t="str">
        <f>IF('Temperature in bundle'!$P$4="Current = 1A per pair",2,IF($A209="","",('Temperature in bundle'!$Q$6-('Temperature in bundle'!$Q$6^2-4*(O209+Q$7)*'Temperature in bundle'!$Q$7)^0.5)/2/(O209+Q$7)))</f>
        <v/>
      </c>
      <c r="Q209" s="98" t="str">
        <f t="shared" si="71"/>
        <v/>
      </c>
      <c r="R209" s="101" t="str">
        <f t="shared" si="79"/>
        <v/>
      </c>
      <c r="T209" s="100" t="str">
        <f t="shared" si="72"/>
        <v/>
      </c>
      <c r="U209" s="119" t="str">
        <f>IF('Temperature in bundle'!$P$4="Current = 1A per pair",2,IF($A209="","",('Temperature in bundle'!$Q$6-('Temperature in bundle'!$Q$6^2-4*(T209+V$7)*'Temperature in bundle'!$Q$7)^0.5)/2/(T209+V$7)))</f>
        <v/>
      </c>
      <c r="V209" s="98" t="str">
        <f t="shared" si="73"/>
        <v/>
      </c>
      <c r="W209" s="101" t="str">
        <f t="shared" si="80"/>
        <v/>
      </c>
      <c r="Y209" s="100" t="str">
        <f t="shared" si="74"/>
        <v/>
      </c>
      <c r="Z209" s="119" t="str">
        <f>IF('Temperature in bundle'!$P$4="Current = 1A per pair",2,IF($A209="","",('Temperature in bundle'!$Q$6-('Temperature in bundle'!$Q$6^2-4*(Y209+AA$7)*'Temperature in bundle'!$Q$7)^0.5)/2/(Y209+AA$7)))</f>
        <v/>
      </c>
      <c r="AA209" s="98" t="str">
        <f t="shared" si="75"/>
        <v/>
      </c>
      <c r="AB209" s="101" t="str">
        <f t="shared" si="81"/>
        <v/>
      </c>
    </row>
    <row r="210" spans="1:28">
      <c r="A210" t="str">
        <f t="shared" si="82"/>
        <v/>
      </c>
      <c r="B210" s="113">
        <v>-2.5</v>
      </c>
      <c r="C210" s="113">
        <f>(SQRT(3)/2*7)*-1</f>
        <v>-6.0621778264910704</v>
      </c>
      <c r="D210" s="113">
        <f t="shared" si="84"/>
        <v>6.5574385243020004</v>
      </c>
      <c r="E210" s="113" t="str">
        <f t="shared" si="76"/>
        <v/>
      </c>
      <c r="F210" s="113" t="str">
        <f t="shared" si="76"/>
        <v/>
      </c>
      <c r="G210" s="113" t="str">
        <f t="shared" si="83"/>
        <v/>
      </c>
      <c r="J210" s="116" t="str">
        <f t="shared" si="77"/>
        <v/>
      </c>
      <c r="K210" s="119" t="str">
        <f t="shared" si="68"/>
        <v/>
      </c>
      <c r="L210" s="98" t="str">
        <f t="shared" si="69"/>
        <v/>
      </c>
      <c r="M210" s="101" t="str">
        <f t="shared" si="78"/>
        <v/>
      </c>
      <c r="O210" s="100" t="str">
        <f t="shared" si="70"/>
        <v/>
      </c>
      <c r="P210" s="119" t="str">
        <f>IF('Temperature in bundle'!$P$4="Current = 1A per pair",2,IF($A210="","",('Temperature in bundle'!$Q$6-('Temperature in bundle'!$Q$6^2-4*(O210+Q$7)*'Temperature in bundle'!$Q$7)^0.5)/2/(O210+Q$7)))</f>
        <v/>
      </c>
      <c r="Q210" s="98" t="str">
        <f t="shared" si="71"/>
        <v/>
      </c>
      <c r="R210" s="101" t="str">
        <f t="shared" si="79"/>
        <v/>
      </c>
      <c r="T210" s="100" t="str">
        <f t="shared" si="72"/>
        <v/>
      </c>
      <c r="U210" s="119" t="str">
        <f>IF('Temperature in bundle'!$P$4="Current = 1A per pair",2,IF($A210="","",('Temperature in bundle'!$Q$6-('Temperature in bundle'!$Q$6^2-4*(T210+V$7)*'Temperature in bundle'!$Q$7)^0.5)/2/(T210+V$7)))</f>
        <v/>
      </c>
      <c r="V210" s="98" t="str">
        <f t="shared" si="73"/>
        <v/>
      </c>
      <c r="W210" s="101" t="str">
        <f t="shared" si="80"/>
        <v/>
      </c>
      <c r="Y210" s="100" t="str">
        <f t="shared" si="74"/>
        <v/>
      </c>
      <c r="Z210" s="119" t="str">
        <f>IF('Temperature in bundle'!$P$4="Current = 1A per pair",2,IF($A210="","",('Temperature in bundle'!$Q$6-('Temperature in bundle'!$Q$6^2-4*(Y210+AA$7)*'Temperature in bundle'!$Q$7)^0.5)/2/(Y210+AA$7)))</f>
        <v/>
      </c>
      <c r="AA210" s="98" t="str">
        <f t="shared" si="75"/>
        <v/>
      </c>
      <c r="AB210" s="101" t="str">
        <f t="shared" si="81"/>
        <v/>
      </c>
    </row>
    <row r="211" spans="1:28">
      <c r="A211" t="str">
        <f t="shared" si="82"/>
        <v/>
      </c>
      <c r="B211" s="113">
        <v>2.5</v>
      </c>
      <c r="C211" s="113">
        <f>(SQRT(3)/2*7)*-1</f>
        <v>-6.0621778264910704</v>
      </c>
      <c r="D211" s="113">
        <f t="shared" si="84"/>
        <v>6.5574385243020004</v>
      </c>
      <c r="E211" s="113" t="str">
        <f t="shared" si="76"/>
        <v/>
      </c>
      <c r="F211" s="113" t="str">
        <f t="shared" si="76"/>
        <v/>
      </c>
      <c r="G211" s="113" t="str">
        <f t="shared" si="83"/>
        <v/>
      </c>
      <c r="J211" s="116" t="str">
        <f t="shared" si="77"/>
        <v/>
      </c>
      <c r="K211" s="119" t="str">
        <f t="shared" si="68"/>
        <v/>
      </c>
      <c r="L211" s="98" t="str">
        <f t="shared" si="69"/>
        <v/>
      </c>
      <c r="M211" s="101" t="str">
        <f t="shared" si="78"/>
        <v/>
      </c>
      <c r="O211" s="100" t="str">
        <f t="shared" si="70"/>
        <v/>
      </c>
      <c r="P211" s="119" t="str">
        <f>IF('Temperature in bundle'!$P$4="Current = 1A per pair",2,IF($A211="","",('Temperature in bundle'!$Q$6-('Temperature in bundle'!$Q$6^2-4*(O211+Q$7)*'Temperature in bundle'!$Q$7)^0.5)/2/(O211+Q$7)))</f>
        <v/>
      </c>
      <c r="Q211" s="98" t="str">
        <f t="shared" si="71"/>
        <v/>
      </c>
      <c r="R211" s="101" t="str">
        <f t="shared" si="79"/>
        <v/>
      </c>
      <c r="T211" s="100" t="str">
        <f t="shared" si="72"/>
        <v/>
      </c>
      <c r="U211" s="119" t="str">
        <f>IF('Temperature in bundle'!$P$4="Current = 1A per pair",2,IF($A211="","",('Temperature in bundle'!$Q$6-('Temperature in bundle'!$Q$6^2-4*(T211+V$7)*'Temperature in bundle'!$Q$7)^0.5)/2/(T211+V$7)))</f>
        <v/>
      </c>
      <c r="V211" s="98" t="str">
        <f t="shared" si="73"/>
        <v/>
      </c>
      <c r="W211" s="101" t="str">
        <f t="shared" si="80"/>
        <v/>
      </c>
      <c r="Y211" s="100" t="str">
        <f t="shared" si="74"/>
        <v/>
      </c>
      <c r="Z211" s="119" t="str">
        <f>IF('Temperature in bundle'!$P$4="Current = 1A per pair",2,IF($A211="","",('Temperature in bundle'!$Q$6-('Temperature in bundle'!$Q$6^2-4*(Y211+AA$7)*'Temperature in bundle'!$Q$7)^0.5)/2/(Y211+AA$7)))</f>
        <v/>
      </c>
      <c r="AA211" s="98" t="str">
        <f t="shared" si="75"/>
        <v/>
      </c>
      <c r="AB211" s="101" t="str">
        <f t="shared" si="81"/>
        <v/>
      </c>
    </row>
    <row r="212" spans="1:28">
      <c r="A212" t="str">
        <f t="shared" si="82"/>
        <v/>
      </c>
      <c r="B212" s="113">
        <v>4</v>
      </c>
      <c r="C212" s="113">
        <f>(SQRT(3)/2*6)*-1</f>
        <v>-5.196152422706632</v>
      </c>
      <c r="D212" s="113">
        <f t="shared" si="84"/>
        <v>6.5574385243020004</v>
      </c>
      <c r="E212" s="113" t="str">
        <f t="shared" si="76"/>
        <v/>
      </c>
      <c r="F212" s="113" t="str">
        <f t="shared" si="76"/>
        <v/>
      </c>
      <c r="G212" s="113" t="str">
        <f t="shared" si="83"/>
        <v/>
      </c>
      <c r="J212" s="116" t="str">
        <f t="shared" si="77"/>
        <v/>
      </c>
      <c r="K212" s="119" t="str">
        <f t="shared" si="68"/>
        <v/>
      </c>
      <c r="L212" s="98" t="str">
        <f t="shared" si="69"/>
        <v/>
      </c>
      <c r="M212" s="101" t="str">
        <f t="shared" si="78"/>
        <v/>
      </c>
      <c r="O212" s="100" t="str">
        <f t="shared" si="70"/>
        <v/>
      </c>
      <c r="P212" s="119" t="str">
        <f>IF('Temperature in bundle'!$P$4="Current = 1A per pair",2,IF($A212="","",('Temperature in bundle'!$Q$6-('Temperature in bundle'!$Q$6^2-4*(O212+Q$7)*'Temperature in bundle'!$Q$7)^0.5)/2/(O212+Q$7)))</f>
        <v/>
      </c>
      <c r="Q212" s="98" t="str">
        <f t="shared" si="71"/>
        <v/>
      </c>
      <c r="R212" s="101" t="str">
        <f t="shared" si="79"/>
        <v/>
      </c>
      <c r="T212" s="100" t="str">
        <f t="shared" si="72"/>
        <v/>
      </c>
      <c r="U212" s="119" t="str">
        <f>IF('Temperature in bundle'!$P$4="Current = 1A per pair",2,IF($A212="","",('Temperature in bundle'!$Q$6-('Temperature in bundle'!$Q$6^2-4*(T212+V$7)*'Temperature in bundle'!$Q$7)^0.5)/2/(T212+V$7)))</f>
        <v/>
      </c>
      <c r="V212" s="98" t="str">
        <f t="shared" si="73"/>
        <v/>
      </c>
      <c r="W212" s="101" t="str">
        <f t="shared" si="80"/>
        <v/>
      </c>
      <c r="Y212" s="100" t="str">
        <f t="shared" si="74"/>
        <v/>
      </c>
      <c r="Z212" s="119" t="str">
        <f>IF('Temperature in bundle'!$P$4="Current = 1A per pair",2,IF($A212="","",('Temperature in bundle'!$Q$6-('Temperature in bundle'!$Q$6^2-4*(Y212+AA$7)*'Temperature in bundle'!$Q$7)^0.5)/2/(Y212+AA$7)))</f>
        <v/>
      </c>
      <c r="AA212" s="98" t="str">
        <f t="shared" si="75"/>
        <v/>
      </c>
      <c r="AB212" s="101" t="str">
        <f t="shared" si="81"/>
        <v/>
      </c>
    </row>
    <row r="213" spans="1:28">
      <c r="A213" t="str">
        <f t="shared" si="82"/>
        <v/>
      </c>
      <c r="B213" s="113">
        <v>6.5</v>
      </c>
      <c r="C213" s="113">
        <f>(SQRT(3)/2)*-1</f>
        <v>-0.8660254037844386</v>
      </c>
      <c r="D213" s="113">
        <f t="shared" si="84"/>
        <v>6.5574385243020004</v>
      </c>
      <c r="E213" s="113" t="str">
        <f t="shared" si="76"/>
        <v/>
      </c>
      <c r="F213" s="113" t="str">
        <f t="shared" si="76"/>
        <v/>
      </c>
      <c r="G213" s="113" t="str">
        <f t="shared" si="83"/>
        <v/>
      </c>
      <c r="J213" s="116" t="str">
        <f t="shared" si="77"/>
        <v/>
      </c>
      <c r="K213" s="119" t="str">
        <f t="shared" si="68"/>
        <v/>
      </c>
      <c r="L213" s="98" t="str">
        <f t="shared" si="69"/>
        <v/>
      </c>
      <c r="M213" s="101" t="str">
        <f t="shared" si="78"/>
        <v/>
      </c>
      <c r="O213" s="100" t="str">
        <f t="shared" si="70"/>
        <v/>
      </c>
      <c r="P213" s="119" t="str">
        <f>IF('Temperature in bundle'!$P$4="Current = 1A per pair",2,IF($A213="","",('Temperature in bundle'!$Q$6-('Temperature in bundle'!$Q$6^2-4*(O213+Q$7)*'Temperature in bundle'!$Q$7)^0.5)/2/(O213+Q$7)))</f>
        <v/>
      </c>
      <c r="Q213" s="98" t="str">
        <f t="shared" si="71"/>
        <v/>
      </c>
      <c r="R213" s="101" t="str">
        <f t="shared" si="79"/>
        <v/>
      </c>
      <c r="T213" s="100" t="str">
        <f t="shared" si="72"/>
        <v/>
      </c>
      <c r="U213" s="119" t="str">
        <f>IF('Temperature in bundle'!$P$4="Current = 1A per pair",2,IF($A213="","",('Temperature in bundle'!$Q$6-('Temperature in bundle'!$Q$6^2-4*(T213+V$7)*'Temperature in bundle'!$Q$7)^0.5)/2/(T213+V$7)))</f>
        <v/>
      </c>
      <c r="V213" s="98" t="str">
        <f t="shared" si="73"/>
        <v/>
      </c>
      <c r="W213" s="101" t="str">
        <f t="shared" si="80"/>
        <v/>
      </c>
      <c r="Y213" s="100" t="str">
        <f t="shared" si="74"/>
        <v/>
      </c>
      <c r="Z213" s="119" t="str">
        <f>IF('Temperature in bundle'!$P$4="Current = 1A per pair",2,IF($A213="","",('Temperature in bundle'!$Q$6-('Temperature in bundle'!$Q$6^2-4*(Y213+AA$7)*'Temperature in bundle'!$Q$7)^0.5)/2/(Y213+AA$7)))</f>
        <v/>
      </c>
      <c r="AA213" s="98" t="str">
        <f t="shared" si="75"/>
        <v/>
      </c>
      <c r="AB213" s="101" t="str">
        <f t="shared" si="81"/>
        <v/>
      </c>
    </row>
    <row r="214" spans="1:28">
      <c r="A214" t="str">
        <f t="shared" si="82"/>
        <v/>
      </c>
      <c r="B214" s="113">
        <v>6</v>
      </c>
      <c r="C214" s="113">
        <f>SQRT(3)/2*4</f>
        <v>3.4641016151377544</v>
      </c>
      <c r="D214" s="113">
        <f t="shared" si="84"/>
        <v>6.9282032302755088</v>
      </c>
      <c r="E214" s="113" t="str">
        <f t="shared" si="76"/>
        <v/>
      </c>
      <c r="F214" s="113" t="str">
        <f t="shared" si="76"/>
        <v/>
      </c>
      <c r="G214" s="113" t="str">
        <f t="shared" si="83"/>
        <v/>
      </c>
      <c r="J214" s="116" t="str">
        <f t="shared" si="77"/>
        <v/>
      </c>
      <c r="K214" s="119" t="str">
        <f t="shared" si="68"/>
        <v/>
      </c>
      <c r="L214" s="98" t="str">
        <f t="shared" si="69"/>
        <v/>
      </c>
      <c r="M214" s="101" t="str">
        <f t="shared" si="78"/>
        <v/>
      </c>
      <c r="O214" s="100" t="str">
        <f t="shared" si="70"/>
        <v/>
      </c>
      <c r="P214" s="119" t="str">
        <f>IF('Temperature in bundle'!$P$4="Current = 1A per pair",2,IF($A214="","",('Temperature in bundle'!$Q$6-('Temperature in bundle'!$Q$6^2-4*(O214+Q$7)*'Temperature in bundle'!$Q$7)^0.5)/2/(O214+Q$7)))</f>
        <v/>
      </c>
      <c r="Q214" s="98" t="str">
        <f t="shared" si="71"/>
        <v/>
      </c>
      <c r="R214" s="101" t="str">
        <f t="shared" si="79"/>
        <v/>
      </c>
      <c r="T214" s="100" t="str">
        <f t="shared" si="72"/>
        <v/>
      </c>
      <c r="U214" s="119" t="str">
        <f>IF('Temperature in bundle'!$P$4="Current = 1A per pair",2,IF($A214="","",('Temperature in bundle'!$Q$6-('Temperature in bundle'!$Q$6^2-4*(T214+V$7)*'Temperature in bundle'!$Q$7)^0.5)/2/(T214+V$7)))</f>
        <v/>
      </c>
      <c r="V214" s="98" t="str">
        <f t="shared" si="73"/>
        <v/>
      </c>
      <c r="W214" s="101" t="str">
        <f t="shared" si="80"/>
        <v/>
      </c>
      <c r="Y214" s="100" t="str">
        <f t="shared" si="74"/>
        <v/>
      </c>
      <c r="Z214" s="119" t="str">
        <f>IF('Temperature in bundle'!$P$4="Current = 1A per pair",2,IF($A214="","",('Temperature in bundle'!$Q$6-('Temperature in bundle'!$Q$6^2-4*(Y214+AA$7)*'Temperature in bundle'!$Q$7)^0.5)/2/(Y214+AA$7)))</f>
        <v/>
      </c>
      <c r="AA214" s="98" t="str">
        <f t="shared" si="75"/>
        <v/>
      </c>
      <c r="AB214" s="101" t="str">
        <f t="shared" si="81"/>
        <v/>
      </c>
    </row>
    <row r="215" spans="1:28">
      <c r="A215" t="str">
        <f t="shared" si="82"/>
        <v/>
      </c>
      <c r="B215" s="113">
        <v>0</v>
      </c>
      <c r="C215" s="113">
        <f>SQRT(3)/2*8</f>
        <v>6.9282032302755088</v>
      </c>
      <c r="D215" s="113">
        <f t="shared" si="84"/>
        <v>6.9282032302755088</v>
      </c>
      <c r="E215" s="113" t="str">
        <f t="shared" si="76"/>
        <v/>
      </c>
      <c r="F215" s="113" t="str">
        <f t="shared" si="76"/>
        <v/>
      </c>
      <c r="G215" s="113" t="str">
        <f t="shared" si="83"/>
        <v/>
      </c>
      <c r="J215" s="116" t="str">
        <f t="shared" si="77"/>
        <v/>
      </c>
      <c r="K215" s="119" t="str">
        <f t="shared" si="68"/>
        <v/>
      </c>
      <c r="L215" s="98" t="str">
        <f t="shared" si="69"/>
        <v/>
      </c>
      <c r="M215" s="101" t="str">
        <f t="shared" si="78"/>
        <v/>
      </c>
      <c r="O215" s="100" t="str">
        <f t="shared" si="70"/>
        <v/>
      </c>
      <c r="P215" s="119" t="str">
        <f>IF('Temperature in bundle'!$P$4="Current = 1A per pair",2,IF($A215="","",('Temperature in bundle'!$Q$6-('Temperature in bundle'!$Q$6^2-4*(O215+Q$7)*'Temperature in bundle'!$Q$7)^0.5)/2/(O215+Q$7)))</f>
        <v/>
      </c>
      <c r="Q215" s="98" t="str">
        <f t="shared" si="71"/>
        <v/>
      </c>
      <c r="R215" s="101" t="str">
        <f t="shared" si="79"/>
        <v/>
      </c>
      <c r="T215" s="100" t="str">
        <f t="shared" si="72"/>
        <v/>
      </c>
      <c r="U215" s="119" t="str">
        <f>IF('Temperature in bundle'!$P$4="Current = 1A per pair",2,IF($A215="","",('Temperature in bundle'!$Q$6-('Temperature in bundle'!$Q$6^2-4*(T215+V$7)*'Temperature in bundle'!$Q$7)^0.5)/2/(T215+V$7)))</f>
        <v/>
      </c>
      <c r="V215" s="98" t="str">
        <f t="shared" si="73"/>
        <v/>
      </c>
      <c r="W215" s="101" t="str">
        <f t="shared" si="80"/>
        <v/>
      </c>
      <c r="Y215" s="100" t="str">
        <f t="shared" si="74"/>
        <v/>
      </c>
      <c r="Z215" s="119" t="str">
        <f>IF('Temperature in bundle'!$P$4="Current = 1A per pair",2,IF($A215="","",('Temperature in bundle'!$Q$6-('Temperature in bundle'!$Q$6^2-4*(Y215+AA$7)*'Temperature in bundle'!$Q$7)^0.5)/2/(Y215+AA$7)))</f>
        <v/>
      </c>
      <c r="AA215" s="98" t="str">
        <f t="shared" si="75"/>
        <v/>
      </c>
      <c r="AB215" s="101" t="str">
        <f t="shared" si="81"/>
        <v/>
      </c>
    </row>
    <row r="216" spans="1:28">
      <c r="A216" t="str">
        <f t="shared" si="82"/>
        <v/>
      </c>
      <c r="B216" s="113">
        <v>-6</v>
      </c>
      <c r="C216" s="113">
        <f>SQRT(3)/2*4</f>
        <v>3.4641016151377544</v>
      </c>
      <c r="D216" s="113">
        <f t="shared" si="84"/>
        <v>6.9282032302755088</v>
      </c>
      <c r="E216" s="113" t="str">
        <f t="shared" si="76"/>
        <v/>
      </c>
      <c r="F216" s="113" t="str">
        <f t="shared" si="76"/>
        <v/>
      </c>
      <c r="G216" s="113" t="str">
        <f t="shared" si="83"/>
        <v/>
      </c>
      <c r="J216" s="116" t="str">
        <f t="shared" si="77"/>
        <v/>
      </c>
      <c r="K216" s="119" t="str">
        <f t="shared" si="68"/>
        <v/>
      </c>
      <c r="L216" s="98" t="str">
        <f t="shared" si="69"/>
        <v/>
      </c>
      <c r="M216" s="101" t="str">
        <f t="shared" si="78"/>
        <v/>
      </c>
      <c r="O216" s="100" t="str">
        <f t="shared" si="70"/>
        <v/>
      </c>
      <c r="P216" s="119" t="str">
        <f>IF('Temperature in bundle'!$P$4="Current = 1A per pair",2,IF($A216="","",('Temperature in bundle'!$Q$6-('Temperature in bundle'!$Q$6^2-4*(O216+Q$7)*'Temperature in bundle'!$Q$7)^0.5)/2/(O216+Q$7)))</f>
        <v/>
      </c>
      <c r="Q216" s="98" t="str">
        <f t="shared" si="71"/>
        <v/>
      </c>
      <c r="R216" s="101" t="str">
        <f t="shared" si="79"/>
        <v/>
      </c>
      <c r="T216" s="100" t="str">
        <f t="shared" si="72"/>
        <v/>
      </c>
      <c r="U216" s="119" t="str">
        <f>IF('Temperature in bundle'!$P$4="Current = 1A per pair",2,IF($A216="","",('Temperature in bundle'!$Q$6-('Temperature in bundle'!$Q$6^2-4*(T216+V$7)*'Temperature in bundle'!$Q$7)^0.5)/2/(T216+V$7)))</f>
        <v/>
      </c>
      <c r="V216" s="98" t="str">
        <f t="shared" si="73"/>
        <v/>
      </c>
      <c r="W216" s="101" t="str">
        <f t="shared" si="80"/>
        <v/>
      </c>
      <c r="Y216" s="100" t="str">
        <f t="shared" si="74"/>
        <v/>
      </c>
      <c r="Z216" s="119" t="str">
        <f>IF('Temperature in bundle'!$P$4="Current = 1A per pair",2,IF($A216="","",('Temperature in bundle'!$Q$6-('Temperature in bundle'!$Q$6^2-4*(Y216+AA$7)*'Temperature in bundle'!$Q$7)^0.5)/2/(Y216+AA$7)))</f>
        <v/>
      </c>
      <c r="AA216" s="98" t="str">
        <f t="shared" si="75"/>
        <v/>
      </c>
      <c r="AB216" s="101" t="str">
        <f t="shared" si="81"/>
        <v/>
      </c>
    </row>
    <row r="217" spans="1:28">
      <c r="A217" t="str">
        <f t="shared" si="82"/>
        <v/>
      </c>
      <c r="B217" s="113">
        <v>-6</v>
      </c>
      <c r="C217" s="113">
        <f>(SQRT(3)/2*4)*-1</f>
        <v>-3.4641016151377544</v>
      </c>
      <c r="D217" s="113">
        <f t="shared" si="84"/>
        <v>6.9282032302755088</v>
      </c>
      <c r="E217" s="113" t="str">
        <f t="shared" si="76"/>
        <v/>
      </c>
      <c r="F217" s="113" t="str">
        <f t="shared" si="76"/>
        <v/>
      </c>
      <c r="G217" s="113" t="str">
        <f t="shared" si="83"/>
        <v/>
      </c>
      <c r="J217" s="116" t="str">
        <f t="shared" si="77"/>
        <v/>
      </c>
      <c r="K217" s="119" t="str">
        <f t="shared" si="68"/>
        <v/>
      </c>
      <c r="L217" s="98" t="str">
        <f t="shared" si="69"/>
        <v/>
      </c>
      <c r="M217" s="101" t="str">
        <f t="shared" si="78"/>
        <v/>
      </c>
      <c r="O217" s="100" t="str">
        <f t="shared" si="70"/>
        <v/>
      </c>
      <c r="P217" s="119" t="str">
        <f>IF('Temperature in bundle'!$P$4="Current = 1A per pair",2,IF($A217="","",('Temperature in bundle'!$Q$6-('Temperature in bundle'!$Q$6^2-4*(O217+Q$7)*'Temperature in bundle'!$Q$7)^0.5)/2/(O217+Q$7)))</f>
        <v/>
      </c>
      <c r="Q217" s="98" t="str">
        <f t="shared" si="71"/>
        <v/>
      </c>
      <c r="R217" s="101" t="str">
        <f t="shared" si="79"/>
        <v/>
      </c>
      <c r="T217" s="100" t="str">
        <f t="shared" si="72"/>
        <v/>
      </c>
      <c r="U217" s="119" t="str">
        <f>IF('Temperature in bundle'!$P$4="Current = 1A per pair",2,IF($A217="","",('Temperature in bundle'!$Q$6-('Temperature in bundle'!$Q$6^2-4*(T217+V$7)*'Temperature in bundle'!$Q$7)^0.5)/2/(T217+V$7)))</f>
        <v/>
      </c>
      <c r="V217" s="98" t="str">
        <f t="shared" si="73"/>
        <v/>
      </c>
      <c r="W217" s="101" t="str">
        <f t="shared" si="80"/>
        <v/>
      </c>
      <c r="Y217" s="100" t="str">
        <f t="shared" si="74"/>
        <v/>
      </c>
      <c r="Z217" s="119" t="str">
        <f>IF('Temperature in bundle'!$P$4="Current = 1A per pair",2,IF($A217="","",('Temperature in bundle'!$Q$6-('Temperature in bundle'!$Q$6^2-4*(Y217+AA$7)*'Temperature in bundle'!$Q$7)^0.5)/2/(Y217+AA$7)))</f>
        <v/>
      </c>
      <c r="AA217" s="98" t="str">
        <f t="shared" si="75"/>
        <v/>
      </c>
      <c r="AB217" s="101" t="str">
        <f t="shared" si="81"/>
        <v/>
      </c>
    </row>
    <row r="218" spans="1:28">
      <c r="A218" t="str">
        <f t="shared" si="82"/>
        <v/>
      </c>
      <c r="B218" s="113">
        <v>0</v>
      </c>
      <c r="C218" s="113">
        <f>(SQRT(3)/2*8)*-1</f>
        <v>-6.9282032302755088</v>
      </c>
      <c r="D218" s="113">
        <f t="shared" si="84"/>
        <v>6.9282032302755088</v>
      </c>
      <c r="E218" s="113" t="str">
        <f t="shared" si="76"/>
        <v/>
      </c>
      <c r="F218" s="113" t="str">
        <f t="shared" si="76"/>
        <v/>
      </c>
      <c r="G218" s="113" t="str">
        <f t="shared" si="83"/>
        <v/>
      </c>
      <c r="J218" s="116" t="str">
        <f t="shared" si="77"/>
        <v/>
      </c>
      <c r="K218" s="119" t="str">
        <f t="shared" si="68"/>
        <v/>
      </c>
      <c r="L218" s="98" t="str">
        <f t="shared" si="69"/>
        <v/>
      </c>
      <c r="M218" s="101" t="str">
        <f t="shared" si="78"/>
        <v/>
      </c>
      <c r="O218" s="100" t="str">
        <f t="shared" si="70"/>
        <v/>
      </c>
      <c r="P218" s="119" t="str">
        <f>IF('Temperature in bundle'!$P$4="Current = 1A per pair",2,IF($A218="","",('Temperature in bundle'!$Q$6-('Temperature in bundle'!$Q$6^2-4*(O218+Q$7)*'Temperature in bundle'!$Q$7)^0.5)/2/(O218+Q$7)))</f>
        <v/>
      </c>
      <c r="Q218" s="98" t="str">
        <f t="shared" si="71"/>
        <v/>
      </c>
      <c r="R218" s="101" t="str">
        <f t="shared" si="79"/>
        <v/>
      </c>
      <c r="T218" s="100" t="str">
        <f t="shared" si="72"/>
        <v/>
      </c>
      <c r="U218" s="119" t="str">
        <f>IF('Temperature in bundle'!$P$4="Current = 1A per pair",2,IF($A218="","",('Temperature in bundle'!$Q$6-('Temperature in bundle'!$Q$6^2-4*(T218+V$7)*'Temperature in bundle'!$Q$7)^0.5)/2/(T218+V$7)))</f>
        <v/>
      </c>
      <c r="V218" s="98" t="str">
        <f t="shared" si="73"/>
        <v/>
      </c>
      <c r="W218" s="101" t="str">
        <f t="shared" si="80"/>
        <v/>
      </c>
      <c r="Y218" s="100" t="str">
        <f t="shared" si="74"/>
        <v/>
      </c>
      <c r="Z218" s="119" t="str">
        <f>IF('Temperature in bundle'!$P$4="Current = 1A per pair",2,IF($A218="","",('Temperature in bundle'!$Q$6-('Temperature in bundle'!$Q$6^2-4*(Y218+AA$7)*'Temperature in bundle'!$Q$7)^0.5)/2/(Y218+AA$7)))</f>
        <v/>
      </c>
      <c r="AA218" s="98" t="str">
        <f t="shared" si="75"/>
        <v/>
      </c>
      <c r="AB218" s="101" t="str">
        <f t="shared" si="81"/>
        <v/>
      </c>
    </row>
    <row r="219" spans="1:28">
      <c r="A219" t="str">
        <f t="shared" si="82"/>
        <v/>
      </c>
      <c r="B219" s="113">
        <v>6</v>
      </c>
      <c r="C219" s="113">
        <f>(SQRT(3)/2*4)*-1</f>
        <v>-3.4641016151377544</v>
      </c>
      <c r="D219" s="113">
        <f t="shared" si="84"/>
        <v>6.9282032302755088</v>
      </c>
      <c r="E219" s="113" t="str">
        <f t="shared" si="76"/>
        <v/>
      </c>
      <c r="F219" s="113" t="str">
        <f t="shared" si="76"/>
        <v/>
      </c>
      <c r="G219" s="113" t="str">
        <f t="shared" si="83"/>
        <v/>
      </c>
      <c r="J219" s="116" t="str">
        <f t="shared" si="77"/>
        <v/>
      </c>
      <c r="K219" s="119" t="str">
        <f t="shared" si="68"/>
        <v/>
      </c>
      <c r="L219" s="98" t="str">
        <f t="shared" si="69"/>
        <v/>
      </c>
      <c r="M219" s="101" t="str">
        <f t="shared" si="78"/>
        <v/>
      </c>
      <c r="O219" s="100" t="str">
        <f t="shared" si="70"/>
        <v/>
      </c>
      <c r="P219" s="119" t="str">
        <f>IF('Temperature in bundle'!$P$4="Current = 1A per pair",2,IF($A219="","",('Temperature in bundle'!$Q$6-('Temperature in bundle'!$Q$6^2-4*(O219+Q$7)*'Temperature in bundle'!$Q$7)^0.5)/2/(O219+Q$7)))</f>
        <v/>
      </c>
      <c r="Q219" s="98" t="str">
        <f t="shared" si="71"/>
        <v/>
      </c>
      <c r="R219" s="101" t="str">
        <f t="shared" si="79"/>
        <v/>
      </c>
      <c r="T219" s="100" t="str">
        <f t="shared" si="72"/>
        <v/>
      </c>
      <c r="U219" s="119" t="str">
        <f>IF('Temperature in bundle'!$P$4="Current = 1A per pair",2,IF($A219="","",('Temperature in bundle'!$Q$6-('Temperature in bundle'!$Q$6^2-4*(T219+V$7)*'Temperature in bundle'!$Q$7)^0.5)/2/(T219+V$7)))</f>
        <v/>
      </c>
      <c r="V219" s="98" t="str">
        <f t="shared" si="73"/>
        <v/>
      </c>
      <c r="W219" s="101" t="str">
        <f t="shared" si="80"/>
        <v/>
      </c>
      <c r="Y219" s="100" t="str">
        <f t="shared" si="74"/>
        <v/>
      </c>
      <c r="Z219" s="119" t="str">
        <f>IF('Temperature in bundle'!$P$4="Current = 1A per pair",2,IF($A219="","",('Temperature in bundle'!$Q$6-('Temperature in bundle'!$Q$6^2-4*(Y219+AA$7)*'Temperature in bundle'!$Q$7)^0.5)/2/(Y219+AA$7)))</f>
        <v/>
      </c>
      <c r="AA219" s="98" t="str">
        <f t="shared" si="75"/>
        <v/>
      </c>
      <c r="AB219" s="101" t="str">
        <f t="shared" si="81"/>
        <v/>
      </c>
    </row>
    <row r="220" spans="1:28">
      <c r="A220" t="str">
        <f t="shared" si="82"/>
        <v/>
      </c>
      <c r="B220" s="113">
        <v>7</v>
      </c>
      <c r="C220" s="113">
        <v>0</v>
      </c>
      <c r="D220" s="113">
        <f t="shared" si="84"/>
        <v>7</v>
      </c>
      <c r="E220" s="113" t="str">
        <f t="shared" si="76"/>
        <v/>
      </c>
      <c r="F220" s="113" t="str">
        <f t="shared" si="76"/>
        <v/>
      </c>
      <c r="G220" s="113" t="str">
        <f t="shared" si="83"/>
        <v/>
      </c>
      <c r="J220" s="116" t="str">
        <f t="shared" si="77"/>
        <v/>
      </c>
      <c r="K220" s="119" t="str">
        <f t="shared" si="68"/>
        <v/>
      </c>
      <c r="L220" s="98" t="str">
        <f t="shared" si="69"/>
        <v/>
      </c>
      <c r="M220" s="101" t="str">
        <f t="shared" si="78"/>
        <v/>
      </c>
      <c r="O220" s="100" t="str">
        <f t="shared" si="70"/>
        <v/>
      </c>
      <c r="P220" s="119" t="str">
        <f>IF('Temperature in bundle'!$P$4="Current = 1A per pair",2,IF($A220="","",('Temperature in bundle'!$Q$6-('Temperature in bundle'!$Q$6^2-4*(O220+Q$7)*'Temperature in bundle'!$Q$7)^0.5)/2/(O220+Q$7)))</f>
        <v/>
      </c>
      <c r="Q220" s="98" t="str">
        <f t="shared" si="71"/>
        <v/>
      </c>
      <c r="R220" s="101" t="str">
        <f t="shared" si="79"/>
        <v/>
      </c>
      <c r="T220" s="100" t="str">
        <f t="shared" si="72"/>
        <v/>
      </c>
      <c r="U220" s="119" t="str">
        <f>IF('Temperature in bundle'!$P$4="Current = 1A per pair",2,IF($A220="","",('Temperature in bundle'!$Q$6-('Temperature in bundle'!$Q$6^2-4*(T220+V$7)*'Temperature in bundle'!$Q$7)^0.5)/2/(T220+V$7)))</f>
        <v/>
      </c>
      <c r="V220" s="98" t="str">
        <f t="shared" si="73"/>
        <v/>
      </c>
      <c r="W220" s="101" t="str">
        <f t="shared" si="80"/>
        <v/>
      </c>
      <c r="Y220" s="100" t="str">
        <f t="shared" si="74"/>
        <v/>
      </c>
      <c r="Z220" s="119" t="str">
        <f>IF('Temperature in bundle'!$P$4="Current = 1A per pair",2,IF($A220="","",('Temperature in bundle'!$Q$6-('Temperature in bundle'!$Q$6^2-4*(Y220+AA$7)*'Temperature in bundle'!$Q$7)^0.5)/2/(Y220+AA$7)))</f>
        <v/>
      </c>
      <c r="AA220" s="98" t="str">
        <f t="shared" si="75"/>
        <v/>
      </c>
      <c r="AB220" s="101" t="str">
        <f t="shared" si="81"/>
        <v/>
      </c>
    </row>
    <row r="221" spans="1:28">
      <c r="A221" t="str">
        <f t="shared" si="82"/>
        <v/>
      </c>
      <c r="B221" s="113">
        <v>3.5</v>
      </c>
      <c r="C221" s="113">
        <f>SQRT(3)/2*7</f>
        <v>6.0621778264910704</v>
      </c>
      <c r="D221" s="113">
        <f t="shared" si="84"/>
        <v>7</v>
      </c>
      <c r="E221" s="113" t="str">
        <f t="shared" si="76"/>
        <v/>
      </c>
      <c r="F221" s="113" t="str">
        <f t="shared" si="76"/>
        <v/>
      </c>
      <c r="G221" s="113" t="str">
        <f t="shared" si="83"/>
        <v/>
      </c>
      <c r="J221" s="116" t="str">
        <f t="shared" si="77"/>
        <v/>
      </c>
      <c r="K221" s="119" t="str">
        <f t="shared" si="68"/>
        <v/>
      </c>
      <c r="L221" s="98" t="str">
        <f t="shared" si="69"/>
        <v/>
      </c>
      <c r="M221" s="101" t="str">
        <f t="shared" si="78"/>
        <v/>
      </c>
      <c r="O221" s="100" t="str">
        <f t="shared" si="70"/>
        <v/>
      </c>
      <c r="P221" s="119" t="str">
        <f>IF('Temperature in bundle'!$P$4="Current = 1A per pair",2,IF($A221="","",('Temperature in bundle'!$Q$6-('Temperature in bundle'!$Q$6^2-4*(O221+Q$7)*'Temperature in bundle'!$Q$7)^0.5)/2/(O221+Q$7)))</f>
        <v/>
      </c>
      <c r="Q221" s="98" t="str">
        <f t="shared" si="71"/>
        <v/>
      </c>
      <c r="R221" s="101" t="str">
        <f t="shared" si="79"/>
        <v/>
      </c>
      <c r="T221" s="100" t="str">
        <f t="shared" si="72"/>
        <v/>
      </c>
      <c r="U221" s="119" t="str">
        <f>IF('Temperature in bundle'!$P$4="Current = 1A per pair",2,IF($A221="","",('Temperature in bundle'!$Q$6-('Temperature in bundle'!$Q$6^2-4*(T221+V$7)*'Temperature in bundle'!$Q$7)^0.5)/2/(T221+V$7)))</f>
        <v/>
      </c>
      <c r="V221" s="98" t="str">
        <f t="shared" si="73"/>
        <v/>
      </c>
      <c r="W221" s="101" t="str">
        <f t="shared" si="80"/>
        <v/>
      </c>
      <c r="Y221" s="100" t="str">
        <f t="shared" si="74"/>
        <v/>
      </c>
      <c r="Z221" s="119" t="str">
        <f>IF('Temperature in bundle'!$P$4="Current = 1A per pair",2,IF($A221="","",('Temperature in bundle'!$Q$6-('Temperature in bundle'!$Q$6^2-4*(Y221+AA$7)*'Temperature in bundle'!$Q$7)^0.5)/2/(Y221+AA$7)))</f>
        <v/>
      </c>
      <c r="AA221" s="98" t="str">
        <f t="shared" si="75"/>
        <v/>
      </c>
      <c r="AB221" s="101" t="str">
        <f t="shared" si="81"/>
        <v/>
      </c>
    </row>
    <row r="222" spans="1:28">
      <c r="A222" t="str">
        <f t="shared" si="82"/>
        <v/>
      </c>
      <c r="B222" s="113">
        <v>-3.5</v>
      </c>
      <c r="C222" s="113">
        <f>SQRT(3)/2*7</f>
        <v>6.0621778264910704</v>
      </c>
      <c r="D222" s="113">
        <f t="shared" si="84"/>
        <v>7</v>
      </c>
      <c r="E222" s="113" t="str">
        <f t="shared" si="76"/>
        <v/>
      </c>
      <c r="F222" s="113" t="str">
        <f t="shared" si="76"/>
        <v/>
      </c>
      <c r="G222" s="113" t="str">
        <f t="shared" si="83"/>
        <v/>
      </c>
      <c r="J222" s="116" t="str">
        <f t="shared" si="77"/>
        <v/>
      </c>
      <c r="K222" s="119" t="str">
        <f t="shared" si="68"/>
        <v/>
      </c>
      <c r="L222" s="98" t="str">
        <f t="shared" si="69"/>
        <v/>
      </c>
      <c r="M222" s="101" t="str">
        <f t="shared" si="78"/>
        <v/>
      </c>
      <c r="O222" s="100" t="str">
        <f t="shared" si="70"/>
        <v/>
      </c>
      <c r="P222" s="119" t="str">
        <f>IF('Temperature in bundle'!$P$4="Current = 1A per pair",2,IF($A222="","",('Temperature in bundle'!$Q$6-('Temperature in bundle'!$Q$6^2-4*(O222+Q$7)*'Temperature in bundle'!$Q$7)^0.5)/2/(O222+Q$7)))</f>
        <v/>
      </c>
      <c r="Q222" s="98" t="str">
        <f t="shared" si="71"/>
        <v/>
      </c>
      <c r="R222" s="101" t="str">
        <f t="shared" si="79"/>
        <v/>
      </c>
      <c r="T222" s="100" t="str">
        <f t="shared" si="72"/>
        <v/>
      </c>
      <c r="U222" s="119" t="str">
        <f>IF('Temperature in bundle'!$P$4="Current = 1A per pair",2,IF($A222="","",('Temperature in bundle'!$Q$6-('Temperature in bundle'!$Q$6^2-4*(T222+V$7)*'Temperature in bundle'!$Q$7)^0.5)/2/(T222+V$7)))</f>
        <v/>
      </c>
      <c r="V222" s="98" t="str">
        <f t="shared" si="73"/>
        <v/>
      </c>
      <c r="W222" s="101" t="str">
        <f t="shared" si="80"/>
        <v/>
      </c>
      <c r="Y222" s="100" t="str">
        <f t="shared" si="74"/>
        <v/>
      </c>
      <c r="Z222" s="119" t="str">
        <f>IF('Temperature in bundle'!$P$4="Current = 1A per pair",2,IF($A222="","",('Temperature in bundle'!$Q$6-('Temperature in bundle'!$Q$6^2-4*(Y222+AA$7)*'Temperature in bundle'!$Q$7)^0.5)/2/(Y222+AA$7)))</f>
        <v/>
      </c>
      <c r="AA222" s="98" t="str">
        <f t="shared" si="75"/>
        <v/>
      </c>
      <c r="AB222" s="101" t="str">
        <f t="shared" si="81"/>
        <v/>
      </c>
    </row>
    <row r="223" spans="1:28">
      <c r="A223" t="str">
        <f t="shared" si="82"/>
        <v/>
      </c>
      <c r="B223" s="113">
        <v>-7</v>
      </c>
      <c r="C223" s="113">
        <v>0</v>
      </c>
      <c r="D223" s="113">
        <f t="shared" si="84"/>
        <v>7</v>
      </c>
      <c r="E223" s="113" t="str">
        <f t="shared" si="76"/>
        <v/>
      </c>
      <c r="F223" s="113" t="str">
        <f t="shared" si="76"/>
        <v/>
      </c>
      <c r="G223" s="113" t="str">
        <f t="shared" si="83"/>
        <v/>
      </c>
      <c r="J223" s="116" t="str">
        <f t="shared" si="77"/>
        <v/>
      </c>
      <c r="K223" s="119" t="str">
        <f t="shared" si="68"/>
        <v/>
      </c>
      <c r="L223" s="98" t="str">
        <f t="shared" si="69"/>
        <v/>
      </c>
      <c r="M223" s="101" t="str">
        <f t="shared" si="78"/>
        <v/>
      </c>
      <c r="O223" s="100" t="str">
        <f t="shared" si="70"/>
        <v/>
      </c>
      <c r="P223" s="119" t="str">
        <f>IF('Temperature in bundle'!$P$4="Current = 1A per pair",2,IF($A223="","",('Temperature in bundle'!$Q$6-('Temperature in bundle'!$Q$6^2-4*(O223+Q$7)*'Temperature in bundle'!$Q$7)^0.5)/2/(O223+Q$7)))</f>
        <v/>
      </c>
      <c r="Q223" s="98" t="str">
        <f t="shared" si="71"/>
        <v/>
      </c>
      <c r="R223" s="101" t="str">
        <f t="shared" si="79"/>
        <v/>
      </c>
      <c r="T223" s="100" t="str">
        <f t="shared" si="72"/>
        <v/>
      </c>
      <c r="U223" s="119" t="str">
        <f>IF('Temperature in bundle'!$P$4="Current = 1A per pair",2,IF($A223="","",('Temperature in bundle'!$Q$6-('Temperature in bundle'!$Q$6^2-4*(T223+V$7)*'Temperature in bundle'!$Q$7)^0.5)/2/(T223+V$7)))</f>
        <v/>
      </c>
      <c r="V223" s="98" t="str">
        <f t="shared" si="73"/>
        <v/>
      </c>
      <c r="W223" s="101" t="str">
        <f t="shared" si="80"/>
        <v/>
      </c>
      <c r="Y223" s="100" t="str">
        <f t="shared" si="74"/>
        <v/>
      </c>
      <c r="Z223" s="119" t="str">
        <f>IF('Temperature in bundle'!$P$4="Current = 1A per pair",2,IF($A223="","",('Temperature in bundle'!$Q$6-('Temperature in bundle'!$Q$6^2-4*(Y223+AA$7)*'Temperature in bundle'!$Q$7)^0.5)/2/(Y223+AA$7)))</f>
        <v/>
      </c>
      <c r="AA223" s="98" t="str">
        <f t="shared" si="75"/>
        <v/>
      </c>
      <c r="AB223" s="101" t="str">
        <f t="shared" si="81"/>
        <v/>
      </c>
    </row>
    <row r="224" spans="1:28">
      <c r="A224" t="str">
        <f t="shared" si="82"/>
        <v/>
      </c>
      <c r="B224" s="113">
        <v>-3.5</v>
      </c>
      <c r="C224" s="113">
        <f>(SQRT(3)/2*7)*-1</f>
        <v>-6.0621778264910704</v>
      </c>
      <c r="D224" s="113">
        <f t="shared" si="84"/>
        <v>7</v>
      </c>
      <c r="E224" s="113" t="str">
        <f t="shared" si="76"/>
        <v/>
      </c>
      <c r="F224" s="113" t="str">
        <f t="shared" si="76"/>
        <v/>
      </c>
      <c r="G224" s="113" t="str">
        <f t="shared" si="83"/>
        <v/>
      </c>
      <c r="J224" s="116" t="str">
        <f t="shared" si="77"/>
        <v/>
      </c>
      <c r="K224" s="119" t="str">
        <f t="shared" si="68"/>
        <v/>
      </c>
      <c r="L224" s="98" t="str">
        <f t="shared" si="69"/>
        <v/>
      </c>
      <c r="M224" s="101" t="str">
        <f t="shared" si="78"/>
        <v/>
      </c>
      <c r="O224" s="100" t="str">
        <f t="shared" si="70"/>
        <v/>
      </c>
      <c r="P224" s="119" t="str">
        <f>IF('Temperature in bundle'!$P$4="Current = 1A per pair",2,IF($A224="","",('Temperature in bundle'!$Q$6-('Temperature in bundle'!$Q$6^2-4*(O224+Q$7)*'Temperature in bundle'!$Q$7)^0.5)/2/(O224+Q$7)))</f>
        <v/>
      </c>
      <c r="Q224" s="98" t="str">
        <f t="shared" si="71"/>
        <v/>
      </c>
      <c r="R224" s="101" t="str">
        <f t="shared" si="79"/>
        <v/>
      </c>
      <c r="T224" s="100" t="str">
        <f t="shared" si="72"/>
        <v/>
      </c>
      <c r="U224" s="119" t="str">
        <f>IF('Temperature in bundle'!$P$4="Current = 1A per pair",2,IF($A224="","",('Temperature in bundle'!$Q$6-('Temperature in bundle'!$Q$6^2-4*(T224+V$7)*'Temperature in bundle'!$Q$7)^0.5)/2/(T224+V$7)))</f>
        <v/>
      </c>
      <c r="V224" s="98" t="str">
        <f t="shared" si="73"/>
        <v/>
      </c>
      <c r="W224" s="101" t="str">
        <f t="shared" si="80"/>
        <v/>
      </c>
      <c r="Y224" s="100" t="str">
        <f t="shared" si="74"/>
        <v/>
      </c>
      <c r="Z224" s="119" t="str">
        <f>IF('Temperature in bundle'!$P$4="Current = 1A per pair",2,IF($A224="","",('Temperature in bundle'!$Q$6-('Temperature in bundle'!$Q$6^2-4*(Y224+AA$7)*'Temperature in bundle'!$Q$7)^0.5)/2/(Y224+AA$7)))</f>
        <v/>
      </c>
      <c r="AA224" s="98" t="str">
        <f t="shared" si="75"/>
        <v/>
      </c>
      <c r="AB224" s="101" t="str">
        <f t="shared" si="81"/>
        <v/>
      </c>
    </row>
    <row r="225" spans="1:28">
      <c r="A225" t="str">
        <f t="shared" si="82"/>
        <v/>
      </c>
      <c r="B225" s="113">
        <v>3.5</v>
      </c>
      <c r="C225" s="113">
        <f>(SQRT(3)/2*7)*-1</f>
        <v>-6.0621778264910704</v>
      </c>
      <c r="D225" s="113">
        <f t="shared" si="84"/>
        <v>7</v>
      </c>
      <c r="E225" s="113" t="str">
        <f t="shared" si="76"/>
        <v/>
      </c>
      <c r="F225" s="113" t="str">
        <f t="shared" si="76"/>
        <v/>
      </c>
      <c r="G225" s="113" t="str">
        <f t="shared" si="83"/>
        <v/>
      </c>
      <c r="J225" s="116" t="str">
        <f t="shared" si="77"/>
        <v/>
      </c>
      <c r="K225" s="119" t="str">
        <f t="shared" si="68"/>
        <v/>
      </c>
      <c r="L225" s="98" t="str">
        <f t="shared" si="69"/>
        <v/>
      </c>
      <c r="M225" s="101" t="str">
        <f t="shared" si="78"/>
        <v/>
      </c>
      <c r="O225" s="100" t="str">
        <f t="shared" si="70"/>
        <v/>
      </c>
      <c r="P225" s="119" t="str">
        <f>IF('Temperature in bundle'!$P$4="Current = 1A per pair",2,IF($A225="","",('Temperature in bundle'!$Q$6-('Temperature in bundle'!$Q$6^2-4*(O225+Q$7)*'Temperature in bundle'!$Q$7)^0.5)/2/(O225+Q$7)))</f>
        <v/>
      </c>
      <c r="Q225" s="98" t="str">
        <f t="shared" si="71"/>
        <v/>
      </c>
      <c r="R225" s="101" t="str">
        <f t="shared" si="79"/>
        <v/>
      </c>
      <c r="T225" s="100" t="str">
        <f t="shared" si="72"/>
        <v/>
      </c>
      <c r="U225" s="119" t="str">
        <f>IF('Temperature in bundle'!$P$4="Current = 1A per pair",2,IF($A225="","",('Temperature in bundle'!$Q$6-('Temperature in bundle'!$Q$6^2-4*(T225+V$7)*'Temperature in bundle'!$Q$7)^0.5)/2/(T225+V$7)))</f>
        <v/>
      </c>
      <c r="V225" s="98" t="str">
        <f t="shared" si="73"/>
        <v/>
      </c>
      <c r="W225" s="101" t="str">
        <f t="shared" si="80"/>
        <v/>
      </c>
      <c r="Y225" s="100" t="str">
        <f t="shared" si="74"/>
        <v/>
      </c>
      <c r="Z225" s="119" t="str">
        <f>IF('Temperature in bundle'!$P$4="Current = 1A per pair",2,IF($A225="","",('Temperature in bundle'!$Q$6-('Temperature in bundle'!$Q$6^2-4*(Y225+AA$7)*'Temperature in bundle'!$Q$7)^0.5)/2/(Y225+AA$7)))</f>
        <v/>
      </c>
      <c r="AA225" s="98" t="str">
        <f t="shared" si="75"/>
        <v/>
      </c>
      <c r="AB225" s="101" t="str">
        <f t="shared" si="81"/>
        <v/>
      </c>
    </row>
    <row r="226" spans="1:28">
      <c r="A226" t="str">
        <f t="shared" si="82"/>
        <v/>
      </c>
      <c r="B226" s="113">
        <v>6.5</v>
      </c>
      <c r="C226" s="113">
        <f>SQRT(3)/2*3</f>
        <v>2.598076211353316</v>
      </c>
      <c r="D226" s="113">
        <f t="shared" si="84"/>
        <v>7</v>
      </c>
      <c r="E226" s="113" t="str">
        <f t="shared" si="76"/>
        <v/>
      </c>
      <c r="F226" s="113" t="str">
        <f t="shared" si="76"/>
        <v/>
      </c>
      <c r="G226" s="113" t="str">
        <f t="shared" si="83"/>
        <v/>
      </c>
      <c r="J226" s="116" t="str">
        <f t="shared" si="77"/>
        <v/>
      </c>
      <c r="K226" s="119" t="str">
        <f t="shared" si="68"/>
        <v/>
      </c>
      <c r="L226" s="98" t="str">
        <f t="shared" si="69"/>
        <v/>
      </c>
      <c r="M226" s="101" t="str">
        <f t="shared" si="78"/>
        <v/>
      </c>
      <c r="O226" s="100" t="str">
        <f t="shared" si="70"/>
        <v/>
      </c>
      <c r="P226" s="119" t="str">
        <f>IF('Temperature in bundle'!$P$4="Current = 1A per pair",2,IF($A226="","",('Temperature in bundle'!$Q$6-('Temperature in bundle'!$Q$6^2-4*(O226+Q$7)*'Temperature in bundle'!$Q$7)^0.5)/2/(O226+Q$7)))</f>
        <v/>
      </c>
      <c r="Q226" s="98" t="str">
        <f t="shared" si="71"/>
        <v/>
      </c>
      <c r="R226" s="101" t="str">
        <f t="shared" si="79"/>
        <v/>
      </c>
      <c r="T226" s="100" t="str">
        <f t="shared" si="72"/>
        <v/>
      </c>
      <c r="U226" s="119" t="str">
        <f>IF('Temperature in bundle'!$P$4="Current = 1A per pair",2,IF($A226="","",('Temperature in bundle'!$Q$6-('Temperature in bundle'!$Q$6^2-4*(T226+V$7)*'Temperature in bundle'!$Q$7)^0.5)/2/(T226+V$7)))</f>
        <v/>
      </c>
      <c r="V226" s="98" t="str">
        <f t="shared" si="73"/>
        <v/>
      </c>
      <c r="W226" s="101" t="str">
        <f t="shared" si="80"/>
        <v/>
      </c>
      <c r="Y226" s="100" t="str">
        <f t="shared" si="74"/>
        <v/>
      </c>
      <c r="Z226" s="119" t="str">
        <f>IF('Temperature in bundle'!$P$4="Current = 1A per pair",2,IF($A226="","",('Temperature in bundle'!$Q$6-('Temperature in bundle'!$Q$6^2-4*(Y226+AA$7)*'Temperature in bundle'!$Q$7)^0.5)/2/(Y226+AA$7)))</f>
        <v/>
      </c>
      <c r="AA226" s="98" t="str">
        <f t="shared" si="75"/>
        <v/>
      </c>
      <c r="AB226" s="101" t="str">
        <f t="shared" si="81"/>
        <v/>
      </c>
    </row>
    <row r="227" spans="1:28">
      <c r="A227" t="str">
        <f t="shared" si="82"/>
        <v/>
      </c>
      <c r="B227" s="113">
        <v>5.5</v>
      </c>
      <c r="C227" s="113">
        <f>SQRT(3)/2*5</f>
        <v>4.3301270189221928</v>
      </c>
      <c r="D227" s="113">
        <f t="shared" si="84"/>
        <v>7</v>
      </c>
      <c r="E227" s="113" t="str">
        <f t="shared" si="76"/>
        <v/>
      </c>
      <c r="F227" s="113" t="str">
        <f t="shared" si="76"/>
        <v/>
      </c>
      <c r="G227" s="113" t="str">
        <f t="shared" si="83"/>
        <v/>
      </c>
      <c r="J227" s="116" t="str">
        <f t="shared" si="77"/>
        <v/>
      </c>
      <c r="K227" s="119" t="str">
        <f t="shared" si="68"/>
        <v/>
      </c>
      <c r="L227" s="98" t="str">
        <f t="shared" si="69"/>
        <v/>
      </c>
      <c r="M227" s="101" t="str">
        <f t="shared" si="78"/>
        <v/>
      </c>
      <c r="O227" s="100" t="str">
        <f t="shared" si="70"/>
        <v/>
      </c>
      <c r="P227" s="119" t="str">
        <f>IF('Temperature in bundle'!$P$4="Current = 1A per pair",2,IF($A227="","",('Temperature in bundle'!$Q$6-('Temperature in bundle'!$Q$6^2-4*(O227+Q$7)*'Temperature in bundle'!$Q$7)^0.5)/2/(O227+Q$7)))</f>
        <v/>
      </c>
      <c r="Q227" s="98" t="str">
        <f t="shared" si="71"/>
        <v/>
      </c>
      <c r="R227" s="101" t="str">
        <f t="shared" si="79"/>
        <v/>
      </c>
      <c r="T227" s="100" t="str">
        <f t="shared" si="72"/>
        <v/>
      </c>
      <c r="U227" s="119" t="str">
        <f>IF('Temperature in bundle'!$P$4="Current = 1A per pair",2,IF($A227="","",('Temperature in bundle'!$Q$6-('Temperature in bundle'!$Q$6^2-4*(T227+V$7)*'Temperature in bundle'!$Q$7)^0.5)/2/(T227+V$7)))</f>
        <v/>
      </c>
      <c r="V227" s="98" t="str">
        <f t="shared" si="73"/>
        <v/>
      </c>
      <c r="W227" s="101" t="str">
        <f t="shared" si="80"/>
        <v/>
      </c>
      <c r="Y227" s="100" t="str">
        <f t="shared" si="74"/>
        <v/>
      </c>
      <c r="Z227" s="119" t="str">
        <f>IF('Temperature in bundle'!$P$4="Current = 1A per pair",2,IF($A227="","",('Temperature in bundle'!$Q$6-('Temperature in bundle'!$Q$6^2-4*(Y227+AA$7)*'Temperature in bundle'!$Q$7)^0.5)/2/(Y227+AA$7)))</f>
        <v/>
      </c>
      <c r="AA227" s="98" t="str">
        <f t="shared" si="75"/>
        <v/>
      </c>
      <c r="AB227" s="101" t="str">
        <f t="shared" si="81"/>
        <v/>
      </c>
    </row>
    <row r="228" spans="1:28">
      <c r="A228" t="str">
        <f t="shared" si="82"/>
        <v/>
      </c>
      <c r="B228" s="113">
        <v>1</v>
      </c>
      <c r="C228" s="113">
        <f>SQRT(3)/2*8</f>
        <v>6.9282032302755088</v>
      </c>
      <c r="D228" s="113">
        <f t="shared" si="84"/>
        <v>6.9999999999999991</v>
      </c>
      <c r="E228" s="113" t="str">
        <f t="shared" si="76"/>
        <v/>
      </c>
      <c r="F228" s="113" t="str">
        <f t="shared" si="76"/>
        <v/>
      </c>
      <c r="G228" s="113" t="str">
        <f t="shared" si="83"/>
        <v/>
      </c>
      <c r="J228" s="116" t="str">
        <f t="shared" si="77"/>
        <v/>
      </c>
      <c r="K228" s="119" t="str">
        <f t="shared" si="68"/>
        <v/>
      </c>
      <c r="L228" s="98" t="str">
        <f t="shared" si="69"/>
        <v/>
      </c>
      <c r="M228" s="101" t="str">
        <f t="shared" si="78"/>
        <v/>
      </c>
      <c r="O228" s="100" t="str">
        <f t="shared" si="70"/>
        <v/>
      </c>
      <c r="P228" s="119" t="str">
        <f>IF('Temperature in bundle'!$P$4="Current = 1A per pair",2,IF($A228="","",('Temperature in bundle'!$Q$6-('Temperature in bundle'!$Q$6^2-4*(O228+Q$7)*'Temperature in bundle'!$Q$7)^0.5)/2/(O228+Q$7)))</f>
        <v/>
      </c>
      <c r="Q228" s="98" t="str">
        <f t="shared" si="71"/>
        <v/>
      </c>
      <c r="R228" s="101" t="str">
        <f t="shared" si="79"/>
        <v/>
      </c>
      <c r="T228" s="100" t="str">
        <f t="shared" si="72"/>
        <v/>
      </c>
      <c r="U228" s="119" t="str">
        <f>IF('Temperature in bundle'!$P$4="Current = 1A per pair",2,IF($A228="","",('Temperature in bundle'!$Q$6-('Temperature in bundle'!$Q$6^2-4*(T228+V$7)*'Temperature in bundle'!$Q$7)^0.5)/2/(T228+V$7)))</f>
        <v/>
      </c>
      <c r="V228" s="98" t="str">
        <f t="shared" si="73"/>
        <v/>
      </c>
      <c r="W228" s="101" t="str">
        <f t="shared" si="80"/>
        <v/>
      </c>
      <c r="Y228" s="100" t="str">
        <f t="shared" si="74"/>
        <v/>
      </c>
      <c r="Z228" s="119" t="str">
        <f>IF('Temperature in bundle'!$P$4="Current = 1A per pair",2,IF($A228="","",('Temperature in bundle'!$Q$6-('Temperature in bundle'!$Q$6^2-4*(Y228+AA$7)*'Temperature in bundle'!$Q$7)^0.5)/2/(Y228+AA$7)))</f>
        <v/>
      </c>
      <c r="AA228" s="98" t="str">
        <f t="shared" si="75"/>
        <v/>
      </c>
      <c r="AB228" s="101" t="str">
        <f t="shared" si="81"/>
        <v/>
      </c>
    </row>
    <row r="229" spans="1:28">
      <c r="A229" t="str">
        <f t="shared" si="82"/>
        <v/>
      </c>
      <c r="B229" s="113">
        <v>-1</v>
      </c>
      <c r="C229" s="113">
        <f>SQRT(3)/2*8</f>
        <v>6.9282032302755088</v>
      </c>
      <c r="D229" s="113">
        <f t="shared" si="84"/>
        <v>6.9999999999999991</v>
      </c>
      <c r="E229" s="113" t="str">
        <f t="shared" si="76"/>
        <v/>
      </c>
      <c r="F229" s="113" t="str">
        <f t="shared" si="76"/>
        <v/>
      </c>
      <c r="G229" s="113" t="str">
        <f t="shared" si="83"/>
        <v/>
      </c>
      <c r="J229" s="116" t="str">
        <f t="shared" si="77"/>
        <v/>
      </c>
      <c r="K229" s="119" t="str">
        <f t="shared" si="68"/>
        <v/>
      </c>
      <c r="L229" s="98" t="str">
        <f t="shared" si="69"/>
        <v/>
      </c>
      <c r="M229" s="101" t="str">
        <f t="shared" si="78"/>
        <v/>
      </c>
      <c r="O229" s="100" t="str">
        <f t="shared" si="70"/>
        <v/>
      </c>
      <c r="P229" s="119" t="str">
        <f>IF('Temperature in bundle'!$P$4="Current = 1A per pair",2,IF($A229="","",('Temperature in bundle'!$Q$6-('Temperature in bundle'!$Q$6^2-4*(O229+Q$7)*'Temperature in bundle'!$Q$7)^0.5)/2/(O229+Q$7)))</f>
        <v/>
      </c>
      <c r="Q229" s="98" t="str">
        <f t="shared" si="71"/>
        <v/>
      </c>
      <c r="R229" s="101" t="str">
        <f t="shared" si="79"/>
        <v/>
      </c>
      <c r="T229" s="100" t="str">
        <f t="shared" si="72"/>
        <v/>
      </c>
      <c r="U229" s="119" t="str">
        <f>IF('Temperature in bundle'!$P$4="Current = 1A per pair",2,IF($A229="","",('Temperature in bundle'!$Q$6-('Temperature in bundle'!$Q$6^2-4*(T229+V$7)*'Temperature in bundle'!$Q$7)^0.5)/2/(T229+V$7)))</f>
        <v/>
      </c>
      <c r="V229" s="98" t="str">
        <f t="shared" si="73"/>
        <v/>
      </c>
      <c r="W229" s="101" t="str">
        <f t="shared" si="80"/>
        <v/>
      </c>
      <c r="Y229" s="100" t="str">
        <f t="shared" si="74"/>
        <v/>
      </c>
      <c r="Z229" s="119" t="str">
        <f>IF('Temperature in bundle'!$P$4="Current = 1A per pair",2,IF($A229="","",('Temperature in bundle'!$Q$6-('Temperature in bundle'!$Q$6^2-4*(Y229+AA$7)*'Temperature in bundle'!$Q$7)^0.5)/2/(Y229+AA$7)))</f>
        <v/>
      </c>
      <c r="AA229" s="98" t="str">
        <f t="shared" si="75"/>
        <v/>
      </c>
      <c r="AB229" s="101" t="str">
        <f t="shared" si="81"/>
        <v/>
      </c>
    </row>
    <row r="230" spans="1:28">
      <c r="A230" t="str">
        <f t="shared" si="82"/>
        <v/>
      </c>
      <c r="B230" s="113">
        <v>-5.5</v>
      </c>
      <c r="C230" s="113">
        <f>SQRT(3)/2*5</f>
        <v>4.3301270189221928</v>
      </c>
      <c r="D230" s="113">
        <f t="shared" si="84"/>
        <v>7</v>
      </c>
      <c r="E230" s="113" t="str">
        <f t="shared" si="76"/>
        <v/>
      </c>
      <c r="F230" s="113" t="str">
        <f t="shared" si="76"/>
        <v/>
      </c>
      <c r="G230" s="113" t="str">
        <f t="shared" si="83"/>
        <v/>
      </c>
      <c r="J230" s="116" t="str">
        <f t="shared" si="77"/>
        <v/>
      </c>
      <c r="K230" s="119" t="str">
        <f t="shared" si="68"/>
        <v/>
      </c>
      <c r="L230" s="98" t="str">
        <f t="shared" si="69"/>
        <v/>
      </c>
      <c r="M230" s="101" t="str">
        <f t="shared" si="78"/>
        <v/>
      </c>
      <c r="O230" s="100" t="str">
        <f t="shared" si="70"/>
        <v/>
      </c>
      <c r="P230" s="119" t="str">
        <f>IF('Temperature in bundle'!$P$4="Current = 1A per pair",2,IF($A230="","",('Temperature in bundle'!$Q$6-('Temperature in bundle'!$Q$6^2-4*(O230+Q$7)*'Temperature in bundle'!$Q$7)^0.5)/2/(O230+Q$7)))</f>
        <v/>
      </c>
      <c r="Q230" s="98" t="str">
        <f t="shared" si="71"/>
        <v/>
      </c>
      <c r="R230" s="101" t="str">
        <f t="shared" si="79"/>
        <v/>
      </c>
      <c r="T230" s="100" t="str">
        <f t="shared" si="72"/>
        <v/>
      </c>
      <c r="U230" s="119" t="str">
        <f>IF('Temperature in bundle'!$P$4="Current = 1A per pair",2,IF($A230="","",('Temperature in bundle'!$Q$6-('Temperature in bundle'!$Q$6^2-4*(T230+V$7)*'Temperature in bundle'!$Q$7)^0.5)/2/(T230+V$7)))</f>
        <v/>
      </c>
      <c r="V230" s="98" t="str">
        <f t="shared" si="73"/>
        <v/>
      </c>
      <c r="W230" s="101" t="str">
        <f t="shared" si="80"/>
        <v/>
      </c>
      <c r="Y230" s="100" t="str">
        <f t="shared" si="74"/>
        <v/>
      </c>
      <c r="Z230" s="119" t="str">
        <f>IF('Temperature in bundle'!$P$4="Current = 1A per pair",2,IF($A230="","",('Temperature in bundle'!$Q$6-('Temperature in bundle'!$Q$6^2-4*(Y230+AA$7)*'Temperature in bundle'!$Q$7)^0.5)/2/(Y230+AA$7)))</f>
        <v/>
      </c>
      <c r="AA230" s="98" t="str">
        <f t="shared" si="75"/>
        <v/>
      </c>
      <c r="AB230" s="101" t="str">
        <f t="shared" si="81"/>
        <v/>
      </c>
    </row>
    <row r="231" spans="1:28">
      <c r="A231" t="str">
        <f t="shared" si="82"/>
        <v/>
      </c>
      <c r="B231" s="113">
        <v>-6.5</v>
      </c>
      <c r="C231" s="113">
        <f>SQRT(3)/2*3</f>
        <v>2.598076211353316</v>
      </c>
      <c r="D231" s="113">
        <f t="shared" si="84"/>
        <v>7</v>
      </c>
      <c r="E231" s="113" t="str">
        <f t="shared" si="76"/>
        <v/>
      </c>
      <c r="F231" s="113" t="str">
        <f t="shared" si="76"/>
        <v/>
      </c>
      <c r="G231" s="113" t="str">
        <f t="shared" si="83"/>
        <v/>
      </c>
      <c r="J231" s="116" t="str">
        <f t="shared" si="77"/>
        <v/>
      </c>
      <c r="K231" s="119" t="str">
        <f t="shared" si="68"/>
        <v/>
      </c>
      <c r="L231" s="98" t="str">
        <f t="shared" si="69"/>
        <v/>
      </c>
      <c r="M231" s="101" t="str">
        <f t="shared" si="78"/>
        <v/>
      </c>
      <c r="O231" s="100" t="str">
        <f t="shared" si="70"/>
        <v/>
      </c>
      <c r="P231" s="119" t="str">
        <f>IF('Temperature in bundle'!$P$4="Current = 1A per pair",2,IF($A231="","",('Temperature in bundle'!$Q$6-('Temperature in bundle'!$Q$6^2-4*(O231+Q$7)*'Temperature in bundle'!$Q$7)^0.5)/2/(O231+Q$7)))</f>
        <v/>
      </c>
      <c r="Q231" s="98" t="str">
        <f t="shared" si="71"/>
        <v/>
      </c>
      <c r="R231" s="101" t="str">
        <f t="shared" si="79"/>
        <v/>
      </c>
      <c r="T231" s="100" t="str">
        <f t="shared" si="72"/>
        <v/>
      </c>
      <c r="U231" s="119" t="str">
        <f>IF('Temperature in bundle'!$P$4="Current = 1A per pair",2,IF($A231="","",('Temperature in bundle'!$Q$6-('Temperature in bundle'!$Q$6^2-4*(T231+V$7)*'Temperature in bundle'!$Q$7)^0.5)/2/(T231+V$7)))</f>
        <v/>
      </c>
      <c r="V231" s="98" t="str">
        <f t="shared" si="73"/>
        <v/>
      </c>
      <c r="W231" s="101" t="str">
        <f t="shared" si="80"/>
        <v/>
      </c>
      <c r="Y231" s="100" t="str">
        <f t="shared" si="74"/>
        <v/>
      </c>
      <c r="Z231" s="119" t="str">
        <f>IF('Temperature in bundle'!$P$4="Current = 1A per pair",2,IF($A231="","",('Temperature in bundle'!$Q$6-('Temperature in bundle'!$Q$6^2-4*(Y231+AA$7)*'Temperature in bundle'!$Q$7)^0.5)/2/(Y231+AA$7)))</f>
        <v/>
      </c>
      <c r="AA231" s="98" t="str">
        <f t="shared" si="75"/>
        <v/>
      </c>
      <c r="AB231" s="101" t="str">
        <f t="shared" si="81"/>
        <v/>
      </c>
    </row>
    <row r="232" spans="1:28">
      <c r="A232" t="str">
        <f t="shared" si="82"/>
        <v/>
      </c>
      <c r="B232" s="113">
        <v>-6.5</v>
      </c>
      <c r="C232" s="113">
        <f>(SQRT(3)/2*3)*-1</f>
        <v>-2.598076211353316</v>
      </c>
      <c r="D232" s="113">
        <f t="shared" si="84"/>
        <v>7</v>
      </c>
      <c r="E232" s="113" t="str">
        <f t="shared" si="76"/>
        <v/>
      </c>
      <c r="F232" s="113" t="str">
        <f t="shared" si="76"/>
        <v/>
      </c>
      <c r="G232" s="113" t="str">
        <f t="shared" si="83"/>
        <v/>
      </c>
      <c r="J232" s="116" t="str">
        <f t="shared" si="77"/>
        <v/>
      </c>
      <c r="K232" s="119" t="str">
        <f t="shared" si="68"/>
        <v/>
      </c>
      <c r="L232" s="98" t="str">
        <f t="shared" si="69"/>
        <v/>
      </c>
      <c r="M232" s="101" t="str">
        <f t="shared" si="78"/>
        <v/>
      </c>
      <c r="O232" s="100" t="str">
        <f t="shared" si="70"/>
        <v/>
      </c>
      <c r="P232" s="119" t="str">
        <f>IF('Temperature in bundle'!$P$4="Current = 1A per pair",2,IF($A232="","",('Temperature in bundle'!$Q$6-('Temperature in bundle'!$Q$6^2-4*(O232+Q$7)*'Temperature in bundle'!$Q$7)^0.5)/2/(O232+Q$7)))</f>
        <v/>
      </c>
      <c r="Q232" s="98" t="str">
        <f t="shared" si="71"/>
        <v/>
      </c>
      <c r="R232" s="101" t="str">
        <f t="shared" si="79"/>
        <v/>
      </c>
      <c r="T232" s="100" t="str">
        <f t="shared" si="72"/>
        <v/>
      </c>
      <c r="U232" s="119" t="str">
        <f>IF('Temperature in bundle'!$P$4="Current = 1A per pair",2,IF($A232="","",('Temperature in bundle'!$Q$6-('Temperature in bundle'!$Q$6^2-4*(T232+V$7)*'Temperature in bundle'!$Q$7)^0.5)/2/(T232+V$7)))</f>
        <v/>
      </c>
      <c r="V232" s="98" t="str">
        <f t="shared" si="73"/>
        <v/>
      </c>
      <c r="W232" s="101" t="str">
        <f t="shared" si="80"/>
        <v/>
      </c>
      <c r="Y232" s="100" t="str">
        <f t="shared" si="74"/>
        <v/>
      </c>
      <c r="Z232" s="119" t="str">
        <f>IF('Temperature in bundle'!$P$4="Current = 1A per pair",2,IF($A232="","",('Temperature in bundle'!$Q$6-('Temperature in bundle'!$Q$6^2-4*(Y232+AA$7)*'Temperature in bundle'!$Q$7)^0.5)/2/(Y232+AA$7)))</f>
        <v/>
      </c>
      <c r="AA232" s="98" t="str">
        <f t="shared" si="75"/>
        <v/>
      </c>
      <c r="AB232" s="101" t="str">
        <f t="shared" si="81"/>
        <v/>
      </c>
    </row>
    <row r="233" spans="1:28">
      <c r="A233" t="str">
        <f t="shared" si="82"/>
        <v/>
      </c>
      <c r="B233" s="113">
        <v>-5.5</v>
      </c>
      <c r="C233" s="113">
        <f>(SQRT(3)/2*5)*-1</f>
        <v>-4.3301270189221928</v>
      </c>
      <c r="D233" s="113">
        <f t="shared" si="84"/>
        <v>7</v>
      </c>
      <c r="E233" s="113" t="str">
        <f t="shared" si="76"/>
        <v/>
      </c>
      <c r="F233" s="113" t="str">
        <f t="shared" si="76"/>
        <v/>
      </c>
      <c r="G233" s="113" t="str">
        <f t="shared" si="83"/>
        <v/>
      </c>
      <c r="J233" s="116" t="str">
        <f t="shared" si="77"/>
        <v/>
      </c>
      <c r="K233" s="119" t="str">
        <f t="shared" si="68"/>
        <v/>
      </c>
      <c r="L233" s="98" t="str">
        <f t="shared" si="69"/>
        <v/>
      </c>
      <c r="M233" s="101" t="str">
        <f t="shared" si="78"/>
        <v/>
      </c>
      <c r="O233" s="100" t="str">
        <f t="shared" si="70"/>
        <v/>
      </c>
      <c r="P233" s="119" t="str">
        <f>IF('Temperature in bundle'!$P$4="Current = 1A per pair",2,IF($A233="","",('Temperature in bundle'!$Q$6-('Temperature in bundle'!$Q$6^2-4*(O233+Q$7)*'Temperature in bundle'!$Q$7)^0.5)/2/(O233+Q$7)))</f>
        <v/>
      </c>
      <c r="Q233" s="98" t="str">
        <f t="shared" si="71"/>
        <v/>
      </c>
      <c r="R233" s="101" t="str">
        <f t="shared" si="79"/>
        <v/>
      </c>
      <c r="T233" s="100" t="str">
        <f t="shared" si="72"/>
        <v/>
      </c>
      <c r="U233" s="119" t="str">
        <f>IF('Temperature in bundle'!$P$4="Current = 1A per pair",2,IF($A233="","",('Temperature in bundle'!$Q$6-('Temperature in bundle'!$Q$6^2-4*(T233+V$7)*'Temperature in bundle'!$Q$7)^0.5)/2/(T233+V$7)))</f>
        <v/>
      </c>
      <c r="V233" s="98" t="str">
        <f t="shared" si="73"/>
        <v/>
      </c>
      <c r="W233" s="101" t="str">
        <f t="shared" si="80"/>
        <v/>
      </c>
      <c r="Y233" s="100" t="str">
        <f t="shared" si="74"/>
        <v/>
      </c>
      <c r="Z233" s="119" t="str">
        <f>IF('Temperature in bundle'!$P$4="Current = 1A per pair",2,IF($A233="","",('Temperature in bundle'!$Q$6-('Temperature in bundle'!$Q$6^2-4*(Y233+AA$7)*'Temperature in bundle'!$Q$7)^0.5)/2/(Y233+AA$7)))</f>
        <v/>
      </c>
      <c r="AA233" s="98" t="str">
        <f t="shared" si="75"/>
        <v/>
      </c>
      <c r="AB233" s="101" t="str">
        <f t="shared" si="81"/>
        <v/>
      </c>
    </row>
    <row r="234" spans="1:28">
      <c r="A234" t="str">
        <f t="shared" si="82"/>
        <v/>
      </c>
      <c r="B234" s="113">
        <v>-1</v>
      </c>
      <c r="C234" s="113">
        <f>(SQRT(3)/2*8)*-1</f>
        <v>-6.9282032302755088</v>
      </c>
      <c r="D234" s="113">
        <f t="shared" si="84"/>
        <v>6.9999999999999991</v>
      </c>
      <c r="E234" s="113" t="str">
        <f t="shared" si="76"/>
        <v/>
      </c>
      <c r="F234" s="113" t="str">
        <f t="shared" si="76"/>
        <v/>
      </c>
      <c r="G234" s="113" t="str">
        <f t="shared" si="83"/>
        <v/>
      </c>
      <c r="J234" s="116" t="str">
        <f t="shared" si="77"/>
        <v/>
      </c>
      <c r="K234" s="119" t="str">
        <f t="shared" si="68"/>
        <v/>
      </c>
      <c r="L234" s="98" t="str">
        <f t="shared" si="69"/>
        <v/>
      </c>
      <c r="M234" s="101" t="str">
        <f t="shared" si="78"/>
        <v/>
      </c>
      <c r="O234" s="100" t="str">
        <f t="shared" si="70"/>
        <v/>
      </c>
      <c r="P234" s="119" t="str">
        <f>IF('Temperature in bundle'!$P$4="Current = 1A per pair",2,IF($A234="","",('Temperature in bundle'!$Q$6-('Temperature in bundle'!$Q$6^2-4*(O234+Q$7)*'Temperature in bundle'!$Q$7)^0.5)/2/(O234+Q$7)))</f>
        <v/>
      </c>
      <c r="Q234" s="98" t="str">
        <f t="shared" si="71"/>
        <v/>
      </c>
      <c r="R234" s="101" t="str">
        <f t="shared" si="79"/>
        <v/>
      </c>
      <c r="T234" s="100" t="str">
        <f t="shared" si="72"/>
        <v/>
      </c>
      <c r="U234" s="119" t="str">
        <f>IF('Temperature in bundle'!$P$4="Current = 1A per pair",2,IF($A234="","",('Temperature in bundle'!$Q$6-('Temperature in bundle'!$Q$6^2-4*(T234+V$7)*'Temperature in bundle'!$Q$7)^0.5)/2/(T234+V$7)))</f>
        <v/>
      </c>
      <c r="V234" s="98" t="str">
        <f t="shared" si="73"/>
        <v/>
      </c>
      <c r="W234" s="101" t="str">
        <f t="shared" si="80"/>
        <v/>
      </c>
      <c r="Y234" s="100" t="str">
        <f t="shared" si="74"/>
        <v/>
      </c>
      <c r="Z234" s="119" t="str">
        <f>IF('Temperature in bundle'!$P$4="Current = 1A per pair",2,IF($A234="","",('Temperature in bundle'!$Q$6-('Temperature in bundle'!$Q$6^2-4*(Y234+AA$7)*'Temperature in bundle'!$Q$7)^0.5)/2/(Y234+AA$7)))</f>
        <v/>
      </c>
      <c r="AA234" s="98" t="str">
        <f t="shared" si="75"/>
        <v/>
      </c>
      <c r="AB234" s="101" t="str">
        <f t="shared" si="81"/>
        <v/>
      </c>
    </row>
    <row r="235" spans="1:28">
      <c r="A235" t="str">
        <f t="shared" si="82"/>
        <v/>
      </c>
      <c r="B235" s="113">
        <v>1</v>
      </c>
      <c r="C235" s="113">
        <f>(SQRT(3)/2*8)*-1</f>
        <v>-6.9282032302755088</v>
      </c>
      <c r="D235" s="113">
        <f t="shared" si="84"/>
        <v>6.9999999999999991</v>
      </c>
      <c r="E235" s="113" t="str">
        <f t="shared" si="76"/>
        <v/>
      </c>
      <c r="F235" s="113" t="str">
        <f t="shared" si="76"/>
        <v/>
      </c>
      <c r="G235" s="113" t="str">
        <f t="shared" si="83"/>
        <v/>
      </c>
      <c r="J235" s="116" t="str">
        <f t="shared" si="77"/>
        <v/>
      </c>
      <c r="K235" s="119" t="str">
        <f t="shared" si="68"/>
        <v/>
      </c>
      <c r="L235" s="98" t="str">
        <f t="shared" si="69"/>
        <v/>
      </c>
      <c r="M235" s="101" t="str">
        <f t="shared" si="78"/>
        <v/>
      </c>
      <c r="O235" s="100" t="str">
        <f t="shared" si="70"/>
        <v/>
      </c>
      <c r="P235" s="119" t="str">
        <f>IF('Temperature in bundle'!$P$4="Current = 1A per pair",2,IF($A235="","",('Temperature in bundle'!$Q$6-('Temperature in bundle'!$Q$6^2-4*(O235+Q$7)*'Temperature in bundle'!$Q$7)^0.5)/2/(O235+Q$7)))</f>
        <v/>
      </c>
      <c r="Q235" s="98" t="str">
        <f t="shared" si="71"/>
        <v/>
      </c>
      <c r="R235" s="101" t="str">
        <f t="shared" si="79"/>
        <v/>
      </c>
      <c r="T235" s="100" t="str">
        <f t="shared" si="72"/>
        <v/>
      </c>
      <c r="U235" s="119" t="str">
        <f>IF('Temperature in bundle'!$P$4="Current = 1A per pair",2,IF($A235="","",('Temperature in bundle'!$Q$6-('Temperature in bundle'!$Q$6^2-4*(T235+V$7)*'Temperature in bundle'!$Q$7)^0.5)/2/(T235+V$7)))</f>
        <v/>
      </c>
      <c r="V235" s="98" t="str">
        <f t="shared" si="73"/>
        <v/>
      </c>
      <c r="W235" s="101" t="str">
        <f t="shared" si="80"/>
        <v/>
      </c>
      <c r="Y235" s="100" t="str">
        <f t="shared" si="74"/>
        <v/>
      </c>
      <c r="Z235" s="119" t="str">
        <f>IF('Temperature in bundle'!$P$4="Current = 1A per pair",2,IF($A235="","",('Temperature in bundle'!$Q$6-('Temperature in bundle'!$Q$6^2-4*(Y235+AA$7)*'Temperature in bundle'!$Q$7)^0.5)/2/(Y235+AA$7)))</f>
        <v/>
      </c>
      <c r="AA235" s="98" t="str">
        <f t="shared" si="75"/>
        <v/>
      </c>
      <c r="AB235" s="101" t="str">
        <f t="shared" si="81"/>
        <v/>
      </c>
    </row>
    <row r="236" spans="1:28">
      <c r="A236" t="str">
        <f t="shared" si="82"/>
        <v/>
      </c>
      <c r="B236" s="113">
        <v>5.5</v>
      </c>
      <c r="C236" s="113">
        <f>(SQRT(3)/2*5)*-1</f>
        <v>-4.3301270189221928</v>
      </c>
      <c r="D236" s="113">
        <f t="shared" si="84"/>
        <v>7</v>
      </c>
      <c r="E236" s="113" t="str">
        <f t="shared" si="76"/>
        <v/>
      </c>
      <c r="F236" s="113" t="str">
        <f t="shared" si="76"/>
        <v/>
      </c>
      <c r="G236" s="113" t="str">
        <f t="shared" si="83"/>
        <v/>
      </c>
      <c r="J236" s="116" t="str">
        <f t="shared" si="77"/>
        <v/>
      </c>
      <c r="K236" s="119" t="str">
        <f t="shared" si="68"/>
        <v/>
      </c>
      <c r="L236" s="98" t="str">
        <f t="shared" si="69"/>
        <v/>
      </c>
      <c r="M236" s="101" t="str">
        <f t="shared" si="78"/>
        <v/>
      </c>
      <c r="O236" s="100" t="str">
        <f t="shared" si="70"/>
        <v/>
      </c>
      <c r="P236" s="119" t="str">
        <f>IF('Temperature in bundle'!$P$4="Current = 1A per pair",2,IF($A236="","",('Temperature in bundle'!$Q$6-('Temperature in bundle'!$Q$6^2-4*(O236+Q$7)*'Temperature in bundle'!$Q$7)^0.5)/2/(O236+Q$7)))</f>
        <v/>
      </c>
      <c r="Q236" s="98" t="str">
        <f t="shared" si="71"/>
        <v/>
      </c>
      <c r="R236" s="101" t="str">
        <f t="shared" si="79"/>
        <v/>
      </c>
      <c r="T236" s="100" t="str">
        <f t="shared" si="72"/>
        <v/>
      </c>
      <c r="U236" s="119" t="str">
        <f>IF('Temperature in bundle'!$P$4="Current = 1A per pair",2,IF($A236="","",('Temperature in bundle'!$Q$6-('Temperature in bundle'!$Q$6^2-4*(T236+V$7)*'Temperature in bundle'!$Q$7)^0.5)/2/(T236+V$7)))</f>
        <v/>
      </c>
      <c r="V236" s="98" t="str">
        <f t="shared" si="73"/>
        <v/>
      </c>
      <c r="W236" s="101" t="str">
        <f t="shared" si="80"/>
        <v/>
      </c>
      <c r="Y236" s="100" t="str">
        <f t="shared" si="74"/>
        <v/>
      </c>
      <c r="Z236" s="119" t="str">
        <f>IF('Temperature in bundle'!$P$4="Current = 1A per pair",2,IF($A236="","",('Temperature in bundle'!$Q$6-('Temperature in bundle'!$Q$6^2-4*(Y236+AA$7)*'Temperature in bundle'!$Q$7)^0.5)/2/(Y236+AA$7)))</f>
        <v/>
      </c>
      <c r="AA236" s="98" t="str">
        <f t="shared" si="75"/>
        <v/>
      </c>
      <c r="AB236" s="101" t="str">
        <f t="shared" si="81"/>
        <v/>
      </c>
    </row>
    <row r="237" spans="1:28">
      <c r="A237" t="str">
        <f t="shared" si="82"/>
        <v/>
      </c>
      <c r="B237" s="113">
        <v>6.5</v>
      </c>
      <c r="C237" s="113">
        <f>(SQRT(3)/2*3)*-1</f>
        <v>-2.598076211353316</v>
      </c>
      <c r="D237" s="113">
        <f t="shared" si="84"/>
        <v>7</v>
      </c>
      <c r="E237" s="113" t="str">
        <f t="shared" si="76"/>
        <v/>
      </c>
      <c r="F237" s="113" t="str">
        <f t="shared" si="76"/>
        <v/>
      </c>
      <c r="G237" s="113" t="str">
        <f t="shared" si="83"/>
        <v/>
      </c>
      <c r="J237" s="116" t="str">
        <f t="shared" si="77"/>
        <v/>
      </c>
      <c r="K237" s="119" t="str">
        <f t="shared" si="68"/>
        <v/>
      </c>
      <c r="L237" s="98" t="str">
        <f t="shared" si="69"/>
        <v/>
      </c>
      <c r="M237" s="101" t="str">
        <f t="shared" si="78"/>
        <v/>
      </c>
      <c r="O237" s="100" t="str">
        <f t="shared" si="70"/>
        <v/>
      </c>
      <c r="P237" s="119" t="str">
        <f>IF('Temperature in bundle'!$P$4="Current = 1A per pair",2,IF($A237="","",('Temperature in bundle'!$Q$6-('Temperature in bundle'!$Q$6^2-4*(O237+Q$7)*'Temperature in bundle'!$Q$7)^0.5)/2/(O237+Q$7)))</f>
        <v/>
      </c>
      <c r="Q237" s="98" t="str">
        <f t="shared" si="71"/>
        <v/>
      </c>
      <c r="R237" s="101" t="str">
        <f t="shared" si="79"/>
        <v/>
      </c>
      <c r="T237" s="100" t="str">
        <f t="shared" si="72"/>
        <v/>
      </c>
      <c r="U237" s="119" t="str">
        <f>IF('Temperature in bundle'!$P$4="Current = 1A per pair",2,IF($A237="","",('Temperature in bundle'!$Q$6-('Temperature in bundle'!$Q$6^2-4*(T237+V$7)*'Temperature in bundle'!$Q$7)^0.5)/2/(T237+V$7)))</f>
        <v/>
      </c>
      <c r="V237" s="98" t="str">
        <f t="shared" si="73"/>
        <v/>
      </c>
      <c r="W237" s="101" t="str">
        <f t="shared" si="80"/>
        <v/>
      </c>
      <c r="Y237" s="100" t="str">
        <f t="shared" si="74"/>
        <v/>
      </c>
      <c r="Z237" s="119" t="str">
        <f>IF('Temperature in bundle'!$P$4="Current = 1A per pair",2,IF($A237="","",('Temperature in bundle'!$Q$6-('Temperature in bundle'!$Q$6^2-4*(Y237+AA$7)*'Temperature in bundle'!$Q$7)^0.5)/2/(Y237+AA$7)))</f>
        <v/>
      </c>
      <c r="AA237" s="98" t="str">
        <f t="shared" si="75"/>
        <v/>
      </c>
      <c r="AB237" s="101" t="str">
        <f t="shared" si="81"/>
        <v/>
      </c>
    </row>
    <row r="238" spans="1:28">
      <c r="A238" t="str">
        <f t="shared" si="82"/>
        <v/>
      </c>
      <c r="B238" s="113">
        <v>7</v>
      </c>
      <c r="C238" s="113">
        <f>SQRT(3)/2*2</f>
        <v>1.7320508075688772</v>
      </c>
      <c r="D238" s="113">
        <f t="shared" si="84"/>
        <v>7.2111025509279782</v>
      </c>
      <c r="E238" s="113" t="str">
        <f t="shared" si="76"/>
        <v/>
      </c>
      <c r="F238" s="113" t="str">
        <f t="shared" si="76"/>
        <v/>
      </c>
      <c r="G238" s="113" t="str">
        <f t="shared" si="83"/>
        <v/>
      </c>
      <c r="J238" s="116" t="str">
        <f t="shared" si="77"/>
        <v/>
      </c>
      <c r="K238" s="119" t="str">
        <f t="shared" si="68"/>
        <v/>
      </c>
      <c r="L238" s="98" t="str">
        <f t="shared" si="69"/>
        <v/>
      </c>
      <c r="M238" s="101" t="str">
        <f t="shared" si="78"/>
        <v/>
      </c>
      <c r="O238" s="100" t="str">
        <f t="shared" si="70"/>
        <v/>
      </c>
      <c r="P238" s="119" t="str">
        <f>IF('Temperature in bundle'!$P$4="Current = 1A per pair",2,IF($A238="","",('Temperature in bundle'!$Q$6-('Temperature in bundle'!$Q$6^2-4*(O238+Q$7)*'Temperature in bundle'!$Q$7)^0.5)/2/(O238+Q$7)))</f>
        <v/>
      </c>
      <c r="Q238" s="98" t="str">
        <f t="shared" si="71"/>
        <v/>
      </c>
      <c r="R238" s="101" t="str">
        <f t="shared" si="79"/>
        <v/>
      </c>
      <c r="T238" s="100" t="str">
        <f t="shared" si="72"/>
        <v/>
      </c>
      <c r="U238" s="119" t="str">
        <f>IF('Temperature in bundle'!$P$4="Current = 1A per pair",2,IF($A238="","",('Temperature in bundle'!$Q$6-('Temperature in bundle'!$Q$6^2-4*(T238+V$7)*'Temperature in bundle'!$Q$7)^0.5)/2/(T238+V$7)))</f>
        <v/>
      </c>
      <c r="V238" s="98" t="str">
        <f t="shared" si="73"/>
        <v/>
      </c>
      <c r="W238" s="101" t="str">
        <f t="shared" si="80"/>
        <v/>
      </c>
      <c r="Y238" s="100" t="str">
        <f t="shared" si="74"/>
        <v/>
      </c>
      <c r="Z238" s="119" t="str">
        <f>IF('Temperature in bundle'!$P$4="Current = 1A per pair",2,IF($A238="","",('Temperature in bundle'!$Q$6-('Temperature in bundle'!$Q$6^2-4*(Y238+AA$7)*'Temperature in bundle'!$Q$7)^0.5)/2/(Y238+AA$7)))</f>
        <v/>
      </c>
      <c r="AA238" s="98" t="str">
        <f t="shared" si="75"/>
        <v/>
      </c>
      <c r="AB238" s="101" t="str">
        <f t="shared" si="81"/>
        <v/>
      </c>
    </row>
    <row r="239" spans="1:28">
      <c r="A239" t="str">
        <f t="shared" si="82"/>
        <v/>
      </c>
      <c r="B239" s="113">
        <v>5</v>
      </c>
      <c r="C239" s="113">
        <f>SQRT(3)/2*6</f>
        <v>5.196152422706632</v>
      </c>
      <c r="D239" s="113">
        <f t="shared" si="84"/>
        <v>7.2111025509279782</v>
      </c>
      <c r="E239" s="113" t="str">
        <f t="shared" si="76"/>
        <v/>
      </c>
      <c r="F239" s="113" t="str">
        <f t="shared" si="76"/>
        <v/>
      </c>
      <c r="G239" s="113" t="str">
        <f t="shared" si="83"/>
        <v/>
      </c>
      <c r="J239" s="116" t="str">
        <f t="shared" si="77"/>
        <v/>
      </c>
      <c r="K239" s="119" t="str">
        <f t="shared" si="68"/>
        <v/>
      </c>
      <c r="L239" s="98" t="str">
        <f t="shared" si="69"/>
        <v/>
      </c>
      <c r="M239" s="101" t="str">
        <f t="shared" si="78"/>
        <v/>
      </c>
      <c r="O239" s="100" t="str">
        <f t="shared" si="70"/>
        <v/>
      </c>
      <c r="P239" s="119" t="str">
        <f>IF('Temperature in bundle'!$P$4="Current = 1A per pair",2,IF($A239="","",('Temperature in bundle'!$Q$6-('Temperature in bundle'!$Q$6^2-4*(O239+Q$7)*'Temperature in bundle'!$Q$7)^0.5)/2/(O239+Q$7)))</f>
        <v/>
      </c>
      <c r="Q239" s="98" t="str">
        <f t="shared" si="71"/>
        <v/>
      </c>
      <c r="R239" s="101" t="str">
        <f t="shared" si="79"/>
        <v/>
      </c>
      <c r="T239" s="100" t="str">
        <f t="shared" si="72"/>
        <v/>
      </c>
      <c r="U239" s="119" t="str">
        <f>IF('Temperature in bundle'!$P$4="Current = 1A per pair",2,IF($A239="","",('Temperature in bundle'!$Q$6-('Temperature in bundle'!$Q$6^2-4*(T239+V$7)*'Temperature in bundle'!$Q$7)^0.5)/2/(T239+V$7)))</f>
        <v/>
      </c>
      <c r="V239" s="98" t="str">
        <f t="shared" si="73"/>
        <v/>
      </c>
      <c r="W239" s="101" t="str">
        <f t="shared" si="80"/>
        <v/>
      </c>
      <c r="Y239" s="100" t="str">
        <f t="shared" si="74"/>
        <v/>
      </c>
      <c r="Z239" s="119" t="str">
        <f>IF('Temperature in bundle'!$P$4="Current = 1A per pair",2,IF($A239="","",('Temperature in bundle'!$Q$6-('Temperature in bundle'!$Q$6^2-4*(Y239+AA$7)*'Temperature in bundle'!$Q$7)^0.5)/2/(Y239+AA$7)))</f>
        <v/>
      </c>
      <c r="AA239" s="98" t="str">
        <f t="shared" si="75"/>
        <v/>
      </c>
      <c r="AB239" s="101" t="str">
        <f t="shared" si="81"/>
        <v/>
      </c>
    </row>
    <row r="240" spans="1:28">
      <c r="A240" t="str">
        <f t="shared" si="82"/>
        <v/>
      </c>
      <c r="B240" s="113">
        <v>2</v>
      </c>
      <c r="C240" s="113">
        <f>SQRT(3)/2*8</f>
        <v>6.9282032302755088</v>
      </c>
      <c r="D240" s="113">
        <f t="shared" si="84"/>
        <v>7.2111025509279782</v>
      </c>
      <c r="E240" s="113" t="str">
        <f t="shared" si="76"/>
        <v/>
      </c>
      <c r="F240" s="113" t="str">
        <f t="shared" si="76"/>
        <v/>
      </c>
      <c r="G240" s="113" t="str">
        <f t="shared" si="83"/>
        <v/>
      </c>
      <c r="J240" s="116" t="str">
        <f t="shared" si="77"/>
        <v/>
      </c>
      <c r="K240" s="119" t="str">
        <f t="shared" si="68"/>
        <v/>
      </c>
      <c r="L240" s="98" t="str">
        <f t="shared" si="69"/>
        <v/>
      </c>
      <c r="M240" s="101" t="str">
        <f t="shared" si="78"/>
        <v/>
      </c>
      <c r="O240" s="100" t="str">
        <f t="shared" si="70"/>
        <v/>
      </c>
      <c r="P240" s="119" t="str">
        <f>IF('Temperature in bundle'!$P$4="Current = 1A per pair",2,IF($A240="","",('Temperature in bundle'!$Q$6-('Temperature in bundle'!$Q$6^2-4*(O240+Q$7)*'Temperature in bundle'!$Q$7)^0.5)/2/(O240+Q$7)))</f>
        <v/>
      </c>
      <c r="Q240" s="98" t="str">
        <f t="shared" si="71"/>
        <v/>
      </c>
      <c r="R240" s="101" t="str">
        <f t="shared" si="79"/>
        <v/>
      </c>
      <c r="T240" s="100" t="str">
        <f t="shared" si="72"/>
        <v/>
      </c>
      <c r="U240" s="119" t="str">
        <f>IF('Temperature in bundle'!$P$4="Current = 1A per pair",2,IF($A240="","",('Temperature in bundle'!$Q$6-('Temperature in bundle'!$Q$6^2-4*(T240+V$7)*'Temperature in bundle'!$Q$7)^0.5)/2/(T240+V$7)))</f>
        <v/>
      </c>
      <c r="V240" s="98" t="str">
        <f t="shared" si="73"/>
        <v/>
      </c>
      <c r="W240" s="101" t="str">
        <f t="shared" si="80"/>
        <v/>
      </c>
      <c r="Y240" s="100" t="str">
        <f t="shared" si="74"/>
        <v/>
      </c>
      <c r="Z240" s="119" t="str">
        <f>IF('Temperature in bundle'!$P$4="Current = 1A per pair",2,IF($A240="","",('Temperature in bundle'!$Q$6-('Temperature in bundle'!$Q$6^2-4*(Y240+AA$7)*'Temperature in bundle'!$Q$7)^0.5)/2/(Y240+AA$7)))</f>
        <v/>
      </c>
      <c r="AA240" s="98" t="str">
        <f t="shared" si="75"/>
        <v/>
      </c>
      <c r="AB240" s="101" t="str">
        <f t="shared" si="81"/>
        <v/>
      </c>
    </row>
    <row r="241" spans="1:28">
      <c r="A241" t="str">
        <f t="shared" si="82"/>
        <v/>
      </c>
      <c r="B241" s="113">
        <v>-2</v>
      </c>
      <c r="C241" s="113">
        <f>SQRT(3)/2*8</f>
        <v>6.9282032302755088</v>
      </c>
      <c r="D241" s="113">
        <f t="shared" si="84"/>
        <v>7.2111025509279782</v>
      </c>
      <c r="E241" s="113" t="str">
        <f t="shared" si="76"/>
        <v/>
      </c>
      <c r="F241" s="113" t="str">
        <f t="shared" si="76"/>
        <v/>
      </c>
      <c r="G241" s="113" t="str">
        <f t="shared" si="83"/>
        <v/>
      </c>
      <c r="J241" s="116" t="str">
        <f t="shared" si="77"/>
        <v/>
      </c>
      <c r="K241" s="119" t="str">
        <f t="shared" si="68"/>
        <v/>
      </c>
      <c r="L241" s="98" t="str">
        <f t="shared" si="69"/>
        <v/>
      </c>
      <c r="M241" s="101" t="str">
        <f t="shared" si="78"/>
        <v/>
      </c>
      <c r="O241" s="100" t="str">
        <f t="shared" si="70"/>
        <v/>
      </c>
      <c r="P241" s="119" t="str">
        <f>IF('Temperature in bundle'!$P$4="Current = 1A per pair",2,IF($A241="","",('Temperature in bundle'!$Q$6-('Temperature in bundle'!$Q$6^2-4*(O241+Q$7)*'Temperature in bundle'!$Q$7)^0.5)/2/(O241+Q$7)))</f>
        <v/>
      </c>
      <c r="Q241" s="98" t="str">
        <f t="shared" si="71"/>
        <v/>
      </c>
      <c r="R241" s="101" t="str">
        <f t="shared" si="79"/>
        <v/>
      </c>
      <c r="T241" s="100" t="str">
        <f t="shared" si="72"/>
        <v/>
      </c>
      <c r="U241" s="119" t="str">
        <f>IF('Temperature in bundle'!$P$4="Current = 1A per pair",2,IF($A241="","",('Temperature in bundle'!$Q$6-('Temperature in bundle'!$Q$6^2-4*(T241+V$7)*'Temperature in bundle'!$Q$7)^0.5)/2/(T241+V$7)))</f>
        <v/>
      </c>
      <c r="V241" s="98" t="str">
        <f t="shared" si="73"/>
        <v/>
      </c>
      <c r="W241" s="101" t="str">
        <f t="shared" si="80"/>
        <v/>
      </c>
      <c r="Y241" s="100" t="str">
        <f t="shared" si="74"/>
        <v/>
      </c>
      <c r="Z241" s="119" t="str">
        <f>IF('Temperature in bundle'!$P$4="Current = 1A per pair",2,IF($A241="","",('Temperature in bundle'!$Q$6-('Temperature in bundle'!$Q$6^2-4*(Y241+AA$7)*'Temperature in bundle'!$Q$7)^0.5)/2/(Y241+AA$7)))</f>
        <v/>
      </c>
      <c r="AA241" s="98" t="str">
        <f t="shared" si="75"/>
        <v/>
      </c>
      <c r="AB241" s="101" t="str">
        <f t="shared" si="81"/>
        <v/>
      </c>
    </row>
    <row r="242" spans="1:28">
      <c r="A242" t="str">
        <f t="shared" si="82"/>
        <v/>
      </c>
      <c r="B242" s="113">
        <v>-5</v>
      </c>
      <c r="C242" s="113">
        <f>SQRT(3)/2*6</f>
        <v>5.196152422706632</v>
      </c>
      <c r="D242" s="113">
        <f t="shared" si="84"/>
        <v>7.2111025509279782</v>
      </c>
      <c r="E242" s="113" t="str">
        <f t="shared" si="76"/>
        <v/>
      </c>
      <c r="F242" s="113" t="str">
        <f t="shared" si="76"/>
        <v/>
      </c>
      <c r="G242" s="113" t="str">
        <f t="shared" si="83"/>
        <v/>
      </c>
      <c r="J242" s="116" t="str">
        <f t="shared" si="77"/>
        <v/>
      </c>
      <c r="K242" s="119" t="str">
        <f t="shared" si="68"/>
        <v/>
      </c>
      <c r="L242" s="98" t="str">
        <f t="shared" si="69"/>
        <v/>
      </c>
      <c r="M242" s="101" t="str">
        <f t="shared" si="78"/>
        <v/>
      </c>
      <c r="O242" s="100" t="str">
        <f t="shared" si="70"/>
        <v/>
      </c>
      <c r="P242" s="119" t="str">
        <f>IF('Temperature in bundle'!$P$4="Current = 1A per pair",2,IF($A242="","",('Temperature in bundle'!$Q$6-('Temperature in bundle'!$Q$6^2-4*(O242+Q$7)*'Temperature in bundle'!$Q$7)^0.5)/2/(O242+Q$7)))</f>
        <v/>
      </c>
      <c r="Q242" s="98" t="str">
        <f t="shared" si="71"/>
        <v/>
      </c>
      <c r="R242" s="101" t="str">
        <f t="shared" si="79"/>
        <v/>
      </c>
      <c r="T242" s="100" t="str">
        <f t="shared" si="72"/>
        <v/>
      </c>
      <c r="U242" s="119" t="str">
        <f>IF('Temperature in bundle'!$P$4="Current = 1A per pair",2,IF($A242="","",('Temperature in bundle'!$Q$6-('Temperature in bundle'!$Q$6^2-4*(T242+V$7)*'Temperature in bundle'!$Q$7)^0.5)/2/(T242+V$7)))</f>
        <v/>
      </c>
      <c r="V242" s="98" t="str">
        <f t="shared" si="73"/>
        <v/>
      </c>
      <c r="W242" s="101" t="str">
        <f t="shared" si="80"/>
        <v/>
      </c>
      <c r="Y242" s="100" t="str">
        <f t="shared" si="74"/>
        <v/>
      </c>
      <c r="Z242" s="119" t="str">
        <f>IF('Temperature in bundle'!$P$4="Current = 1A per pair",2,IF($A242="","",('Temperature in bundle'!$Q$6-('Temperature in bundle'!$Q$6^2-4*(Y242+AA$7)*'Temperature in bundle'!$Q$7)^0.5)/2/(Y242+AA$7)))</f>
        <v/>
      </c>
      <c r="AA242" s="98" t="str">
        <f t="shared" si="75"/>
        <v/>
      </c>
      <c r="AB242" s="101" t="str">
        <f t="shared" si="81"/>
        <v/>
      </c>
    </row>
    <row r="243" spans="1:28">
      <c r="A243" t="str">
        <f t="shared" si="82"/>
        <v/>
      </c>
      <c r="B243" s="113">
        <v>-7</v>
      </c>
      <c r="C243" s="113">
        <f>SQRT(3)/2*2</f>
        <v>1.7320508075688772</v>
      </c>
      <c r="D243" s="113">
        <f t="shared" si="84"/>
        <v>7.2111025509279782</v>
      </c>
      <c r="E243" s="113" t="str">
        <f t="shared" si="76"/>
        <v/>
      </c>
      <c r="F243" s="113" t="str">
        <f t="shared" si="76"/>
        <v/>
      </c>
      <c r="G243" s="113" t="str">
        <f t="shared" si="83"/>
        <v/>
      </c>
      <c r="J243" s="116" t="str">
        <f t="shared" si="77"/>
        <v/>
      </c>
      <c r="K243" s="119" t="str">
        <f t="shared" ref="K243:K249" si="85">IF($A243="","",$C$12)</f>
        <v/>
      </c>
      <c r="L243" s="98" t="str">
        <f t="shared" ref="L243:L249" si="86">IF($A243="","",J243*K243^2)</f>
        <v/>
      </c>
      <c r="M243" s="101" t="str">
        <f t="shared" si="78"/>
        <v/>
      </c>
      <c r="O243" s="100" t="str">
        <f t="shared" ref="O243:O249" si="87">IF($A243="","",$J243*(1+0.0039*M243))</f>
        <v/>
      </c>
      <c r="P243" s="119" t="str">
        <f>IF('Temperature in bundle'!$P$4="Current = 1A per pair",2,IF($A243="","",('Temperature in bundle'!$Q$6-('Temperature in bundle'!$Q$6^2-4*(O243+Q$7)*'Temperature in bundle'!$Q$7)^0.5)/2/(O243+Q$7)))</f>
        <v/>
      </c>
      <c r="Q243" s="98" t="str">
        <f t="shared" ref="Q243:Q249" si="88">IF($A243="","",O243*P243^2)</f>
        <v/>
      </c>
      <c r="R243" s="101" t="str">
        <f t="shared" si="79"/>
        <v/>
      </c>
      <c r="T243" s="100" t="str">
        <f t="shared" ref="T243:T249" si="89">IF($A243="","",$J243*(1+0.0039*R243))</f>
        <v/>
      </c>
      <c r="U243" s="119" t="str">
        <f>IF('Temperature in bundle'!$P$4="Current = 1A per pair",2,IF($A243="","",('Temperature in bundle'!$Q$6-('Temperature in bundle'!$Q$6^2-4*(T243+V$7)*'Temperature in bundle'!$Q$7)^0.5)/2/(T243+V$7)))</f>
        <v/>
      </c>
      <c r="V243" s="98" t="str">
        <f t="shared" ref="V243:V249" si="90">IF($A243="","",T243*U243^2)</f>
        <v/>
      </c>
      <c r="W243" s="101" t="str">
        <f t="shared" si="80"/>
        <v/>
      </c>
      <c r="Y243" s="100" t="str">
        <f t="shared" ref="Y243:Y249" si="91">IF($A243="","",$J243*(1+0.0039*W243))</f>
        <v/>
      </c>
      <c r="Z243" s="119" t="str">
        <f>IF('Temperature in bundle'!$P$4="Current = 1A per pair",2,IF($A243="","",('Temperature in bundle'!$Q$6-('Temperature in bundle'!$Q$6^2-4*(Y243+AA$7)*'Temperature in bundle'!$Q$7)^0.5)/2/(Y243+AA$7)))</f>
        <v/>
      </c>
      <c r="AA243" s="98" t="str">
        <f t="shared" ref="AA243:AA249" si="92">IF($A243="","",Y243*Z243^2)</f>
        <v/>
      </c>
      <c r="AB243" s="101" t="str">
        <f t="shared" si="81"/>
        <v/>
      </c>
    </row>
    <row r="244" spans="1:28">
      <c r="A244" t="str">
        <f t="shared" si="82"/>
        <v/>
      </c>
      <c r="B244" s="113">
        <v>-7</v>
      </c>
      <c r="C244" s="113">
        <f>(SQRT(3)/2*2)*-1</f>
        <v>-1.7320508075688772</v>
      </c>
      <c r="D244" s="113">
        <f t="shared" si="84"/>
        <v>7.2111025509279782</v>
      </c>
      <c r="E244" s="113" t="str">
        <f t="shared" ref="E244:F249" si="93">IF($A244="","",B244)</f>
        <v/>
      </c>
      <c r="F244" s="113" t="str">
        <f t="shared" si="93"/>
        <v/>
      </c>
      <c r="G244" s="113" t="str">
        <f t="shared" si="83"/>
        <v/>
      </c>
      <c r="J244" s="116" t="str">
        <f t="shared" ref="J244:J249" si="94">IF($A244="","",$E$10)</f>
        <v/>
      </c>
      <c r="K244" s="119" t="str">
        <f t="shared" si="85"/>
        <v/>
      </c>
      <c r="L244" s="98" t="str">
        <f t="shared" si="86"/>
        <v/>
      </c>
      <c r="M244" s="101" t="str">
        <f t="shared" ref="M244:M249" si="95">IF($A244="","",L$3+L$4*(1-3.63*$G244^2/$E$15))</f>
        <v/>
      </c>
      <c r="O244" s="100" t="str">
        <f t="shared" si="87"/>
        <v/>
      </c>
      <c r="P244" s="119" t="str">
        <f>IF('Temperature in bundle'!$P$4="Current = 1A per pair",2,IF($A244="","",('Temperature in bundle'!$Q$6-('Temperature in bundle'!$Q$6^2-4*(O244+Q$7)*'Temperature in bundle'!$Q$7)^0.5)/2/(O244+Q$7)))</f>
        <v/>
      </c>
      <c r="Q244" s="98" t="str">
        <f t="shared" si="88"/>
        <v/>
      </c>
      <c r="R244" s="101" t="str">
        <f t="shared" ref="R244:R249" si="96">IF($A244="","",Q$3+Q$4*(1-3.63*$G244^2/$E$15))</f>
        <v/>
      </c>
      <c r="T244" s="100" t="str">
        <f t="shared" si="89"/>
        <v/>
      </c>
      <c r="U244" s="119" t="str">
        <f>IF('Temperature in bundle'!$P$4="Current = 1A per pair",2,IF($A244="","",('Temperature in bundle'!$Q$6-('Temperature in bundle'!$Q$6^2-4*(T244+V$7)*'Temperature in bundle'!$Q$7)^0.5)/2/(T244+V$7)))</f>
        <v/>
      </c>
      <c r="V244" s="98" t="str">
        <f t="shared" si="90"/>
        <v/>
      </c>
      <c r="W244" s="101" t="str">
        <f t="shared" ref="W244:W249" si="97">IF($A244="","",V$3+V$4*(1-3.63*$G244^2/$E$15))</f>
        <v/>
      </c>
      <c r="Y244" s="100" t="str">
        <f t="shared" si="91"/>
        <v/>
      </c>
      <c r="Z244" s="119" t="str">
        <f>IF('Temperature in bundle'!$P$4="Current = 1A per pair",2,IF($A244="","",('Temperature in bundle'!$Q$6-('Temperature in bundle'!$Q$6^2-4*(Y244+AA$7)*'Temperature in bundle'!$Q$7)^0.5)/2/(Y244+AA$7)))</f>
        <v/>
      </c>
      <c r="AA244" s="98" t="str">
        <f t="shared" si="92"/>
        <v/>
      </c>
      <c r="AB244" s="101" t="str">
        <f t="shared" ref="AB244:AB249" si="98">IF($A244="","",AA$3+AA$4*(1-3.63*$G244^2/$E$15))</f>
        <v/>
      </c>
    </row>
    <row r="245" spans="1:28">
      <c r="A245" t="str">
        <f t="shared" ref="A245:A249" si="99">IF(A244&lt;E$15,A244+1,"")</f>
        <v/>
      </c>
      <c r="B245" s="113">
        <v>-5</v>
      </c>
      <c r="C245" s="113">
        <f>(SQRT(3)/2*6)*-1</f>
        <v>-5.196152422706632</v>
      </c>
      <c r="D245" s="113">
        <f t="shared" si="84"/>
        <v>7.2111025509279782</v>
      </c>
      <c r="E245" s="113" t="str">
        <f t="shared" si="93"/>
        <v/>
      </c>
      <c r="F245" s="113" t="str">
        <f t="shared" si="93"/>
        <v/>
      </c>
      <c r="G245" s="113" t="str">
        <f t="shared" ref="G245:G249" si="100">IF(A245="","",((E$50-E245)^2+(F$50-F245)^2)^0.5)</f>
        <v/>
      </c>
      <c r="J245" s="116" t="str">
        <f t="shared" si="94"/>
        <v/>
      </c>
      <c r="K245" s="119" t="str">
        <f t="shared" si="85"/>
        <v/>
      </c>
      <c r="L245" s="98" t="str">
        <f t="shared" si="86"/>
        <v/>
      </c>
      <c r="M245" s="101" t="str">
        <f t="shared" si="95"/>
        <v/>
      </c>
      <c r="O245" s="100" t="str">
        <f t="shared" si="87"/>
        <v/>
      </c>
      <c r="P245" s="119" t="str">
        <f>IF('Temperature in bundle'!$P$4="Current = 1A per pair",2,IF($A245="","",('Temperature in bundle'!$Q$6-('Temperature in bundle'!$Q$6^2-4*(O245+Q$7)*'Temperature in bundle'!$Q$7)^0.5)/2/(O245+Q$7)))</f>
        <v/>
      </c>
      <c r="Q245" s="98" t="str">
        <f t="shared" si="88"/>
        <v/>
      </c>
      <c r="R245" s="101" t="str">
        <f t="shared" si="96"/>
        <v/>
      </c>
      <c r="T245" s="100" t="str">
        <f t="shared" si="89"/>
        <v/>
      </c>
      <c r="U245" s="119" t="str">
        <f>IF('Temperature in bundle'!$P$4="Current = 1A per pair",2,IF($A245="","",('Temperature in bundle'!$Q$6-('Temperature in bundle'!$Q$6^2-4*(T245+V$7)*'Temperature in bundle'!$Q$7)^0.5)/2/(T245+V$7)))</f>
        <v/>
      </c>
      <c r="V245" s="98" t="str">
        <f t="shared" si="90"/>
        <v/>
      </c>
      <c r="W245" s="101" t="str">
        <f t="shared" si="97"/>
        <v/>
      </c>
      <c r="Y245" s="100" t="str">
        <f t="shared" si="91"/>
        <v/>
      </c>
      <c r="Z245" s="119" t="str">
        <f>IF('Temperature in bundle'!$P$4="Current = 1A per pair",2,IF($A245="","",('Temperature in bundle'!$Q$6-('Temperature in bundle'!$Q$6^2-4*(Y245+AA$7)*'Temperature in bundle'!$Q$7)^0.5)/2/(Y245+AA$7)))</f>
        <v/>
      </c>
      <c r="AA245" s="98" t="str">
        <f t="shared" si="92"/>
        <v/>
      </c>
      <c r="AB245" s="101" t="str">
        <f t="shared" si="98"/>
        <v/>
      </c>
    </row>
    <row r="246" spans="1:28">
      <c r="A246" t="str">
        <f t="shared" si="99"/>
        <v/>
      </c>
      <c r="B246" s="113">
        <v>-2</v>
      </c>
      <c r="C246" s="113">
        <f>(SQRT(3)/2*8)*-1</f>
        <v>-6.9282032302755088</v>
      </c>
      <c r="D246" s="113">
        <f t="shared" ref="D246:D249" si="101">(B246^2+C246^2)^0.5</f>
        <v>7.2111025509279782</v>
      </c>
      <c r="E246" s="113" t="str">
        <f t="shared" si="93"/>
        <v/>
      </c>
      <c r="F246" s="113" t="str">
        <f t="shared" si="93"/>
        <v/>
      </c>
      <c r="G246" s="113" t="str">
        <f t="shared" si="100"/>
        <v/>
      </c>
      <c r="J246" s="116" t="str">
        <f t="shared" si="94"/>
        <v/>
      </c>
      <c r="K246" s="119" t="str">
        <f t="shared" si="85"/>
        <v/>
      </c>
      <c r="L246" s="98" t="str">
        <f t="shared" si="86"/>
        <v/>
      </c>
      <c r="M246" s="101" t="str">
        <f t="shared" si="95"/>
        <v/>
      </c>
      <c r="O246" s="100" t="str">
        <f t="shared" si="87"/>
        <v/>
      </c>
      <c r="P246" s="119" t="str">
        <f>IF('Temperature in bundle'!$P$4="Current = 1A per pair",2,IF($A246="","",('Temperature in bundle'!$Q$6-('Temperature in bundle'!$Q$6^2-4*(O246+Q$7)*'Temperature in bundle'!$Q$7)^0.5)/2/(O246+Q$7)))</f>
        <v/>
      </c>
      <c r="Q246" s="98" t="str">
        <f t="shared" si="88"/>
        <v/>
      </c>
      <c r="R246" s="101" t="str">
        <f t="shared" si="96"/>
        <v/>
      </c>
      <c r="T246" s="100" t="str">
        <f t="shared" si="89"/>
        <v/>
      </c>
      <c r="U246" s="119" t="str">
        <f>IF('Temperature in bundle'!$P$4="Current = 1A per pair",2,IF($A246="","",('Temperature in bundle'!$Q$6-('Temperature in bundle'!$Q$6^2-4*(T246+V$7)*'Temperature in bundle'!$Q$7)^0.5)/2/(T246+V$7)))</f>
        <v/>
      </c>
      <c r="V246" s="98" t="str">
        <f t="shared" si="90"/>
        <v/>
      </c>
      <c r="W246" s="101" t="str">
        <f t="shared" si="97"/>
        <v/>
      </c>
      <c r="Y246" s="100" t="str">
        <f t="shared" si="91"/>
        <v/>
      </c>
      <c r="Z246" s="119" t="str">
        <f>IF('Temperature in bundle'!$P$4="Current = 1A per pair",2,IF($A246="","",('Temperature in bundle'!$Q$6-('Temperature in bundle'!$Q$6^2-4*(Y246+AA$7)*'Temperature in bundle'!$Q$7)^0.5)/2/(Y246+AA$7)))</f>
        <v/>
      </c>
      <c r="AA246" s="98" t="str">
        <f t="shared" si="92"/>
        <v/>
      </c>
      <c r="AB246" s="101" t="str">
        <f t="shared" si="98"/>
        <v/>
      </c>
    </row>
    <row r="247" spans="1:28">
      <c r="A247" t="str">
        <f t="shared" si="99"/>
        <v/>
      </c>
      <c r="B247" s="113">
        <v>2</v>
      </c>
      <c r="C247" s="113">
        <f>(SQRT(3)/2*8)*-1</f>
        <v>-6.9282032302755088</v>
      </c>
      <c r="D247" s="113">
        <f t="shared" si="101"/>
        <v>7.2111025509279782</v>
      </c>
      <c r="E247" s="113" t="str">
        <f t="shared" si="93"/>
        <v/>
      </c>
      <c r="F247" s="113" t="str">
        <f t="shared" si="93"/>
        <v/>
      </c>
      <c r="G247" s="113" t="str">
        <f t="shared" si="100"/>
        <v/>
      </c>
      <c r="J247" s="116" t="str">
        <f t="shared" si="94"/>
        <v/>
      </c>
      <c r="K247" s="119" t="str">
        <f t="shared" si="85"/>
        <v/>
      </c>
      <c r="L247" s="98" t="str">
        <f t="shared" si="86"/>
        <v/>
      </c>
      <c r="M247" s="101" t="str">
        <f t="shared" si="95"/>
        <v/>
      </c>
      <c r="O247" s="100" t="str">
        <f t="shared" si="87"/>
        <v/>
      </c>
      <c r="P247" s="119" t="str">
        <f>IF('Temperature in bundle'!$P$4="Current = 1A per pair",2,IF($A247="","",('Temperature in bundle'!$Q$6-('Temperature in bundle'!$Q$6^2-4*(O247+Q$7)*'Temperature in bundle'!$Q$7)^0.5)/2/(O247+Q$7)))</f>
        <v/>
      </c>
      <c r="Q247" s="98" t="str">
        <f t="shared" si="88"/>
        <v/>
      </c>
      <c r="R247" s="101" t="str">
        <f t="shared" si="96"/>
        <v/>
      </c>
      <c r="T247" s="100" t="str">
        <f t="shared" si="89"/>
        <v/>
      </c>
      <c r="U247" s="119" t="str">
        <f>IF('Temperature in bundle'!$P$4="Current = 1A per pair",2,IF($A247="","",('Temperature in bundle'!$Q$6-('Temperature in bundle'!$Q$6^2-4*(T247+V$7)*'Temperature in bundle'!$Q$7)^0.5)/2/(T247+V$7)))</f>
        <v/>
      </c>
      <c r="V247" s="98" t="str">
        <f t="shared" si="90"/>
        <v/>
      </c>
      <c r="W247" s="101" t="str">
        <f t="shared" si="97"/>
        <v/>
      </c>
      <c r="Y247" s="100" t="str">
        <f t="shared" si="91"/>
        <v/>
      </c>
      <c r="Z247" s="119" t="str">
        <f>IF('Temperature in bundle'!$P$4="Current = 1A per pair",2,IF($A247="","",('Temperature in bundle'!$Q$6-('Temperature in bundle'!$Q$6^2-4*(Y247+AA$7)*'Temperature in bundle'!$Q$7)^0.5)/2/(Y247+AA$7)))</f>
        <v/>
      </c>
      <c r="AA247" s="98" t="str">
        <f t="shared" si="92"/>
        <v/>
      </c>
      <c r="AB247" s="101" t="str">
        <f t="shared" si="98"/>
        <v/>
      </c>
    </row>
    <row r="248" spans="1:28">
      <c r="A248" t="str">
        <f t="shared" si="99"/>
        <v/>
      </c>
      <c r="B248" s="113">
        <v>5</v>
      </c>
      <c r="C248" s="113">
        <f>(SQRT(3)/2*6)*-1</f>
        <v>-5.196152422706632</v>
      </c>
      <c r="D248" s="113">
        <f t="shared" si="101"/>
        <v>7.2111025509279782</v>
      </c>
      <c r="E248" s="113" t="str">
        <f t="shared" si="93"/>
        <v/>
      </c>
      <c r="F248" s="113" t="str">
        <f t="shared" si="93"/>
        <v/>
      </c>
      <c r="G248" s="113" t="str">
        <f t="shared" si="100"/>
        <v/>
      </c>
      <c r="J248" s="116" t="str">
        <f t="shared" si="94"/>
        <v/>
      </c>
      <c r="K248" s="119" t="str">
        <f t="shared" si="85"/>
        <v/>
      </c>
      <c r="L248" s="98" t="str">
        <f t="shared" si="86"/>
        <v/>
      </c>
      <c r="M248" s="101" t="str">
        <f t="shared" si="95"/>
        <v/>
      </c>
      <c r="O248" s="100" t="str">
        <f t="shared" si="87"/>
        <v/>
      </c>
      <c r="P248" s="119" t="str">
        <f>IF('Temperature in bundle'!$P$4="Current = 1A per pair",2,IF($A248="","",('Temperature in bundle'!$Q$6-('Temperature in bundle'!$Q$6^2-4*(O248+Q$7)*'Temperature in bundle'!$Q$7)^0.5)/2/(O248+Q$7)))</f>
        <v/>
      </c>
      <c r="Q248" s="98" t="str">
        <f t="shared" si="88"/>
        <v/>
      </c>
      <c r="R248" s="101" t="str">
        <f t="shared" si="96"/>
        <v/>
      </c>
      <c r="T248" s="100" t="str">
        <f t="shared" si="89"/>
        <v/>
      </c>
      <c r="U248" s="119" t="str">
        <f>IF('Temperature in bundle'!$P$4="Current = 1A per pair",2,IF($A248="","",('Temperature in bundle'!$Q$6-('Temperature in bundle'!$Q$6^2-4*(T248+V$7)*'Temperature in bundle'!$Q$7)^0.5)/2/(T248+V$7)))</f>
        <v/>
      </c>
      <c r="V248" s="98" t="str">
        <f t="shared" si="90"/>
        <v/>
      </c>
      <c r="W248" s="101" t="str">
        <f t="shared" si="97"/>
        <v/>
      </c>
      <c r="Y248" s="100" t="str">
        <f t="shared" si="91"/>
        <v/>
      </c>
      <c r="Z248" s="119" t="str">
        <f>IF('Temperature in bundle'!$P$4="Current = 1A per pair",2,IF($A248="","",('Temperature in bundle'!$Q$6-('Temperature in bundle'!$Q$6^2-4*(Y248+AA$7)*'Temperature in bundle'!$Q$7)^0.5)/2/(Y248+AA$7)))</f>
        <v/>
      </c>
      <c r="AA248" s="98" t="str">
        <f t="shared" si="92"/>
        <v/>
      </c>
      <c r="AB248" s="101" t="str">
        <f t="shared" si="98"/>
        <v/>
      </c>
    </row>
    <row r="249" spans="1:28">
      <c r="A249" t="str">
        <f t="shared" si="99"/>
        <v/>
      </c>
      <c r="B249" s="113">
        <v>7</v>
      </c>
      <c r="C249" s="113">
        <f>(SQRT(3)/2*2)*-1</f>
        <v>-1.7320508075688772</v>
      </c>
      <c r="D249" s="113">
        <f t="shared" si="101"/>
        <v>7.2111025509279782</v>
      </c>
      <c r="E249" s="113" t="str">
        <f t="shared" si="93"/>
        <v/>
      </c>
      <c r="F249" s="113" t="str">
        <f t="shared" si="93"/>
        <v/>
      </c>
      <c r="G249" s="113" t="str">
        <f t="shared" si="100"/>
        <v/>
      </c>
      <c r="J249" s="116" t="str">
        <f t="shared" si="94"/>
        <v/>
      </c>
      <c r="K249" s="119" t="str">
        <f t="shared" si="85"/>
        <v/>
      </c>
      <c r="L249" s="98" t="str">
        <f t="shared" si="86"/>
        <v/>
      </c>
      <c r="M249" s="101" t="str">
        <f t="shared" si="95"/>
        <v/>
      </c>
      <c r="O249" s="100" t="str">
        <f t="shared" si="87"/>
        <v/>
      </c>
      <c r="P249" s="119" t="str">
        <f>IF('Temperature in bundle'!$P$4="Current = 1A per pair",2,IF($A249="","",('Temperature in bundle'!$Q$6-('Temperature in bundle'!$Q$6^2-4*(O249+Q$7)*'Temperature in bundle'!$Q$7)^0.5)/2/(O249+Q$7)))</f>
        <v/>
      </c>
      <c r="Q249" s="98" t="str">
        <f t="shared" si="88"/>
        <v/>
      </c>
      <c r="R249" s="101" t="str">
        <f t="shared" si="96"/>
        <v/>
      </c>
      <c r="T249" s="100" t="str">
        <f t="shared" si="89"/>
        <v/>
      </c>
      <c r="U249" s="119" t="str">
        <f>IF('Temperature in bundle'!$P$4="Current = 1A per pair",2,IF($A249="","",('Temperature in bundle'!$Q$6-('Temperature in bundle'!$Q$6^2-4*(T249+V$7)*'Temperature in bundle'!$Q$7)^0.5)/2/(T249+V$7)))</f>
        <v/>
      </c>
      <c r="V249" s="98" t="str">
        <f t="shared" si="90"/>
        <v/>
      </c>
      <c r="W249" s="101" t="str">
        <f t="shared" si="97"/>
        <v/>
      </c>
      <c r="Y249" s="100" t="str">
        <f t="shared" si="91"/>
        <v/>
      </c>
      <c r="Z249" s="119" t="str">
        <f>IF('Temperature in bundle'!$P$4="Current = 1A per pair",2,IF($A249="","",('Temperature in bundle'!$Q$6-('Temperature in bundle'!$Q$6^2-4*(Y249+AA$7)*'Temperature in bundle'!$Q$7)^0.5)/2/(Y249+AA$7)))</f>
        <v/>
      </c>
      <c r="AA249" s="98" t="str">
        <f t="shared" si="92"/>
        <v/>
      </c>
      <c r="AB249" s="101" t="str">
        <f t="shared" si="98"/>
        <v/>
      </c>
    </row>
  </sheetData>
  <mergeCells count="58">
    <mergeCell ref="C1:D1"/>
    <mergeCell ref="E1:F1"/>
    <mergeCell ref="G1:H1"/>
    <mergeCell ref="A2:B2"/>
    <mergeCell ref="C2:D2"/>
    <mergeCell ref="E2:F2"/>
    <mergeCell ref="G2:H2"/>
    <mergeCell ref="A3:B3"/>
    <mergeCell ref="C3:D3"/>
    <mergeCell ref="E3:F3"/>
    <mergeCell ref="G3:H3"/>
    <mergeCell ref="A4:B4"/>
    <mergeCell ref="C4:D4"/>
    <mergeCell ref="E4:F4"/>
    <mergeCell ref="G4:H4"/>
    <mergeCell ref="A5:B5"/>
    <mergeCell ref="C5:D5"/>
    <mergeCell ref="E5:F5"/>
    <mergeCell ref="G5:H5"/>
    <mergeCell ref="A6:B6"/>
    <mergeCell ref="C6:D6"/>
    <mergeCell ref="E6:F6"/>
    <mergeCell ref="G6:H6"/>
    <mergeCell ref="A7:B7"/>
    <mergeCell ref="C7:D7"/>
    <mergeCell ref="E7:F7"/>
    <mergeCell ref="G7:H7"/>
    <mergeCell ref="A8:B8"/>
    <mergeCell ref="C8:D8"/>
    <mergeCell ref="E8:F8"/>
    <mergeCell ref="G8:H8"/>
    <mergeCell ref="E9:F9"/>
    <mergeCell ref="G9:H9"/>
    <mergeCell ref="A10:B10"/>
    <mergeCell ref="C10:D10"/>
    <mergeCell ref="E10:F10"/>
    <mergeCell ref="G10:H10"/>
    <mergeCell ref="G14:H14"/>
    <mergeCell ref="A15:B15"/>
    <mergeCell ref="C15:D15"/>
    <mergeCell ref="E15:F15"/>
    <mergeCell ref="G15:H15"/>
    <mergeCell ref="A16:B16"/>
    <mergeCell ref="E16:F16"/>
    <mergeCell ref="A1:B1"/>
    <mergeCell ref="A14:B14"/>
    <mergeCell ref="C14:D14"/>
    <mergeCell ref="E14:F14"/>
    <mergeCell ref="A11:B11"/>
    <mergeCell ref="C11:H11"/>
    <mergeCell ref="A12:B12"/>
    <mergeCell ref="C12:H12"/>
    <mergeCell ref="A13:B13"/>
    <mergeCell ref="C13:D13"/>
    <mergeCell ref="E13:F13"/>
    <mergeCell ref="G13:H13"/>
    <mergeCell ref="A9:B9"/>
    <mergeCell ref="C9:D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649B6-92CC-4D14-AB35-A72A06126E7B}">
  <sheetPr>
    <tabColor rgb="FFFF0000"/>
  </sheetPr>
  <dimension ref="A1:AE249"/>
  <sheetViews>
    <sheetView workbookViewId="0">
      <selection sqref="A1:B1"/>
    </sheetView>
  </sheetViews>
  <sheetFormatPr defaultColWidth="11.42578125" defaultRowHeight="15"/>
  <cols>
    <col min="1" max="1" width="12.7109375" customWidth="1"/>
    <col min="2" max="7" width="10.7109375" customWidth="1"/>
    <col min="10" max="13" width="15.7109375" customWidth="1"/>
    <col min="15" max="18" width="15.7109375" customWidth="1"/>
    <col min="20" max="23" width="15.7109375" customWidth="1"/>
    <col min="25" max="28" width="15.7109375" customWidth="1"/>
  </cols>
  <sheetData>
    <row r="1" spans="1:31">
      <c r="A1" s="197"/>
      <c r="B1" s="197"/>
      <c r="C1" s="196" t="s">
        <v>291</v>
      </c>
      <c r="D1" s="196"/>
      <c r="E1" s="196" t="s">
        <v>292</v>
      </c>
      <c r="F1" s="196"/>
      <c r="G1" s="196" t="s">
        <v>293</v>
      </c>
      <c r="H1" s="196"/>
      <c r="K1" t="s">
        <v>291</v>
      </c>
      <c r="L1" t="s">
        <v>292</v>
      </c>
      <c r="M1" t="s">
        <v>293</v>
      </c>
      <c r="P1" t="s">
        <v>291</v>
      </c>
      <c r="Q1" t="s">
        <v>292</v>
      </c>
      <c r="R1" t="s">
        <v>293</v>
      </c>
      <c r="U1" t="s">
        <v>291</v>
      </c>
      <c r="V1" t="s">
        <v>292</v>
      </c>
      <c r="W1" t="s">
        <v>293</v>
      </c>
      <c r="Z1" t="s">
        <v>291</v>
      </c>
      <c r="AA1" t="s">
        <v>292</v>
      </c>
      <c r="AB1" t="s">
        <v>293</v>
      </c>
    </row>
    <row r="2" spans="1:31">
      <c r="A2" s="197" t="s">
        <v>294</v>
      </c>
      <c r="B2" s="197"/>
      <c r="C2" s="196" t="str">
        <f>IF('Temperature in bundle'!C8="","",'Temperature in bundle'!C5&amp;"_"&amp;'Temperature in bundle'!C6)</f>
        <v>AWG28/7_Cat.6A STP</v>
      </c>
      <c r="D2" s="196"/>
      <c r="E2" s="196" t="str">
        <f>'Temperature in bundle'!C21</f>
        <v>VDICD116118GHD</v>
      </c>
      <c r="F2" s="196"/>
      <c r="G2" s="196" t="str">
        <f>IF('Temperature in bundle'!C32="","",'Temperature in bundle'!C29&amp;"_"&amp;'Temperature in bundle'!C30)</f>
        <v>AWG28/7_Cat.6A STP</v>
      </c>
      <c r="H2" s="196"/>
      <c r="J2" t="s">
        <v>257</v>
      </c>
      <c r="K2" s="117">
        <f>SUM(L21:L44)</f>
        <v>0.70794959632374377</v>
      </c>
      <c r="L2" s="117">
        <f>SUM(L51:L249)</f>
        <v>13.334703744348626</v>
      </c>
      <c r="M2" s="117">
        <f>L47</f>
        <v>5.8995799693645302E-2</v>
      </c>
      <c r="O2" t="s">
        <v>257</v>
      </c>
      <c r="P2" s="117">
        <f>SUM(Q21:Q44)</f>
        <v>0.70959856085675155</v>
      </c>
      <c r="Q2" s="117">
        <f>SUM(Q51:Q249)</f>
        <v>13.353364460877746</v>
      </c>
      <c r="R2" s="117">
        <f>Q47</f>
        <v>5.9037408792770397E-2</v>
      </c>
      <c r="T2" t="s">
        <v>257</v>
      </c>
      <c r="U2" s="117">
        <f>SUM(V21:V44)</f>
        <v>0.70960235838676522</v>
      </c>
      <c r="V2" s="117">
        <f>SUM(V51:V249)</f>
        <v>13.353390684522823</v>
      </c>
      <c r="W2" s="117">
        <f>V47</f>
        <v>5.9037441677501933E-2</v>
      </c>
      <c r="Y2" t="s">
        <v>257</v>
      </c>
      <c r="Z2" s="117">
        <f>SUM(AA21:AA44)</f>
        <v>0.70960236707601365</v>
      </c>
      <c r="AA2" s="117">
        <f>SUM(AA51:AA249)</f>
        <v>13.35339072166278</v>
      </c>
      <c r="AB2" s="117">
        <f>AA47</f>
        <v>5.9037441708852778E-2</v>
      </c>
    </row>
    <row r="3" spans="1:31">
      <c r="A3" s="197" t="s">
        <v>145</v>
      </c>
      <c r="B3" s="197"/>
      <c r="C3" s="203">
        <f>'Temperature in bundle'!C7</f>
        <v>2</v>
      </c>
      <c r="D3" s="203"/>
      <c r="E3" s="203">
        <f>'Temperature in bundle'!C23</f>
        <v>50</v>
      </c>
      <c r="F3" s="203"/>
      <c r="G3" s="203">
        <f>'Temperature in bundle'!C31</f>
        <v>2</v>
      </c>
      <c r="H3" s="203"/>
      <c r="J3" t="s">
        <v>258</v>
      </c>
      <c r="K3" s="118">
        <f>$C6*K2/$C3/$C5/$C15^0.5/5.182*1000</f>
        <v>0.5377901959714575</v>
      </c>
      <c r="L3" s="118">
        <f>$E6*L2/$E3/$E5/$E15^0.5/5.182*1000</f>
        <v>0.28650942111535033</v>
      </c>
      <c r="M3" s="118">
        <f>$G6*M2/$G3/$G5/$G15^0.5/5.182*1000</f>
        <v>0.15524665720583128</v>
      </c>
      <c r="O3" t="s">
        <v>258</v>
      </c>
      <c r="P3" s="118">
        <f>$C6*P2/$C3/$C5/$C15^0.5/5.182*1000</f>
        <v>0.53904282322622443</v>
      </c>
      <c r="Q3" s="118">
        <f>$E6*Q2/$E3/$E5/$E15^0.5/5.182*1000</f>
        <v>0.28691036523775892</v>
      </c>
      <c r="R3" s="118">
        <f>$G6*R2/$G3/$G5/$G15^0.5/5.182*1000</f>
        <v>0.15535615099322059</v>
      </c>
      <c r="T3" t="s">
        <v>258</v>
      </c>
      <c r="U3" s="118">
        <f>$C6*U2/$C3/$C5/$C15^0.5/5.182*1000</f>
        <v>0.5390457079999722</v>
      </c>
      <c r="V3" s="118">
        <f>$E6*V2/$E3/$E5/$E15^0.5/5.182*1000</f>
        <v>0.28691092867895074</v>
      </c>
      <c r="W3" s="118">
        <f>$G6*W2/$G3/$G5/$G15^0.5/5.182*1000</f>
        <v>0.15535623752895142</v>
      </c>
      <c r="Y3" t="s">
        <v>258</v>
      </c>
      <c r="Z3" s="118">
        <f>$C6*Z2/$C3/$C5/$C15^0.5/5.182*1000</f>
        <v>0.53904571460071404</v>
      </c>
      <c r="AA3" s="118">
        <f>$E6*AA2/$E3/$E5/$E15^0.5/5.182*1000</f>
        <v>0.2869109294769398</v>
      </c>
      <c r="AB3" s="118">
        <f>$G6*AB2/$G3/$G5/$G15^0.5/5.182*1000</f>
        <v>0.15535623761145076</v>
      </c>
    </row>
    <row r="4" spans="1:31">
      <c r="A4" s="197" t="s">
        <v>295</v>
      </c>
      <c r="B4" s="197"/>
      <c r="C4" s="196">
        <f>IF(C$2="","",VLOOKUP(C$2,'Cable list'!$C:$R,16,FALSE))</f>
        <v>2.75</v>
      </c>
      <c r="D4" s="196"/>
      <c r="E4" s="196">
        <f>IF(E$2="","",VLOOKUP(E$2,'Cable list'!$C:$R,16,FALSE))</f>
        <v>5</v>
      </c>
      <c r="F4" s="196"/>
      <c r="G4" s="196">
        <f>IF(G$2="","",VLOOKUP(G$2,'Cable list'!$C:$R,16,FALSE))</f>
        <v>2.75</v>
      </c>
      <c r="H4" s="196"/>
      <c r="J4" t="s">
        <v>259</v>
      </c>
      <c r="K4" s="118">
        <f>$C4*K2/$C3/12.6</f>
        <v>7.7256404360726005E-2</v>
      </c>
      <c r="L4" s="118">
        <f>$E4*L2/$E3/12.6</f>
        <v>0.10583098209800498</v>
      </c>
      <c r="M4" s="118">
        <f>$G4*M2/$G3/12.6</f>
        <v>6.4380336967271665E-3</v>
      </c>
      <c r="O4" t="s">
        <v>259</v>
      </c>
      <c r="P4" s="118">
        <f>$C4*P2/$C3/12.6</f>
        <v>7.7436350887145511E-2</v>
      </c>
      <c r="Q4" s="118">
        <f>$E4*Q2/$E3/12.6</f>
        <v>0.10597908302283926</v>
      </c>
      <c r="R4" s="118">
        <f>$G4*R2/$G3/12.6</f>
        <v>6.4425743722269285E-3</v>
      </c>
      <c r="T4" t="s">
        <v>259</v>
      </c>
      <c r="U4" s="118">
        <f>$C4*U2/$C3/12.6</f>
        <v>7.743676530014304E-2</v>
      </c>
      <c r="V4" s="118">
        <f>$E4*V2/$E3/12.6</f>
        <v>0.10597929114700654</v>
      </c>
      <c r="W4" s="118">
        <f>$G4*W2/$G3/12.6</f>
        <v>6.4425779608385048E-3</v>
      </c>
      <c r="Y4" t="s">
        <v>259</v>
      </c>
      <c r="Z4" s="118">
        <f>$C4*Z2/$C3/12.6</f>
        <v>7.7436766248374506E-2</v>
      </c>
      <c r="AA4" s="118">
        <f>$E4*AA2/$E3/12.6</f>
        <v>0.10597929144176808</v>
      </c>
      <c r="AB4" s="118">
        <f>$G4*AB2/$G3/12.6</f>
        <v>6.4425779642597273E-3</v>
      </c>
    </row>
    <row r="5" spans="1:31">
      <c r="A5" s="197" t="s">
        <v>183</v>
      </c>
      <c r="B5" s="197"/>
      <c r="C5" s="204">
        <f>IF(C$2="","",VLOOKUP(C$2,'Cable list'!$C:$R,8,FALSE))</f>
        <v>5.5</v>
      </c>
      <c r="D5" s="204"/>
      <c r="E5" s="204">
        <f>IF(E$2="","",VLOOKUP(E$2,'Cable list'!$C:$R,8,FALSE))</f>
        <v>5.5</v>
      </c>
      <c r="F5" s="204"/>
      <c r="G5" s="204">
        <f>IF(G$2="","",VLOOKUP(G$2,'Cable list'!$C:$R,8,FALSE))</f>
        <v>5.5</v>
      </c>
      <c r="H5" s="204"/>
    </row>
    <row r="6" spans="1:31">
      <c r="A6" s="197" t="s">
        <v>296</v>
      </c>
      <c r="B6" s="197"/>
      <c r="C6" s="196">
        <v>0.15</v>
      </c>
      <c r="D6" s="196"/>
      <c r="E6" s="196">
        <f>IF('Temperature in bundle'!I2="","",VLOOKUP('Temperature in bundle'!I2,'Constant list'!C2:D5,2,FALSE))</f>
        <v>0.15</v>
      </c>
      <c r="F6" s="196"/>
      <c r="G6" s="196">
        <v>0.15</v>
      </c>
      <c r="H6" s="196"/>
      <c r="O6" t="s">
        <v>305</v>
      </c>
      <c r="P6" s="120">
        <f>AVERAGE(O21:O44)</f>
        <v>0.22334481216186652</v>
      </c>
      <c r="Q6" s="120">
        <f>AVERAGE(O51:O249)</f>
        <v>2.1014731707933985</v>
      </c>
      <c r="R6" s="120">
        <f>O47</f>
        <v>0.22298296031139717</v>
      </c>
      <c r="T6" t="s">
        <v>305</v>
      </c>
      <c r="U6" s="120">
        <f>AVERAGE(T21:T44)</f>
        <v>0.22334598228722702</v>
      </c>
      <c r="V6" s="120">
        <f>AVERAGE(T51:T249)</f>
        <v>2.1014770611666913</v>
      </c>
      <c r="W6" s="120">
        <f>T47</f>
        <v>0.22298305941709828</v>
      </c>
      <c r="Y6" t="s">
        <v>305</v>
      </c>
      <c r="Z6" s="120">
        <f>AVERAGE(Y21:Y44)</f>
        <v>0.22334598498200067</v>
      </c>
      <c r="AA6" s="120">
        <f>AVERAGE(Y51:Y249)</f>
        <v>2.1014770666337785</v>
      </c>
      <c r="AB6" s="120">
        <f>Y47</f>
        <v>0.22298305949542405</v>
      </c>
    </row>
    <row r="7" spans="1:31">
      <c r="A7" s="197" t="s">
        <v>226</v>
      </c>
      <c r="B7" s="197"/>
      <c r="C7" s="202">
        <f>IF(C2="","",VLOOKUP(C2,'Cable list'!$C:$R,12,FALSE)*C3/1000)</f>
        <v>0.44568488497361342</v>
      </c>
      <c r="D7" s="202"/>
      <c r="E7" s="202">
        <f>IF(E2="","",VLOOKUP(E2,'Cable list'!$C:$R,12,FALSE)*E3/1000)</f>
        <v>3.8244977876399981</v>
      </c>
      <c r="F7" s="202"/>
      <c r="G7" s="202">
        <f>IF(G2="","",VLOOKUP(G2,'Cable list'!$C:$R,12,FALSE)*G3/1000)</f>
        <v>0.44568488497361342</v>
      </c>
      <c r="H7" s="202"/>
      <c r="O7" t="s">
        <v>306</v>
      </c>
      <c r="P7" s="120">
        <f>$C11+Q6+R6</f>
        <v>2.5244561311047957</v>
      </c>
      <c r="Q7" s="120">
        <f>$C11+R6+P6</f>
        <v>0.64632777247326367</v>
      </c>
      <c r="R7" s="120">
        <f>$C11+P6+Q6</f>
        <v>2.5248179829552648</v>
      </c>
      <c r="T7" t="s">
        <v>306</v>
      </c>
      <c r="U7" s="120">
        <f>$C11+V6+W6</f>
        <v>2.5244601205837895</v>
      </c>
      <c r="V7" s="120">
        <f>$C11+W6+U6</f>
        <v>0.64632904170432526</v>
      </c>
      <c r="W7" s="120">
        <f>$C11+U6+V6</f>
        <v>2.5248230434539183</v>
      </c>
      <c r="Y7" t="s">
        <v>306</v>
      </c>
      <c r="Z7" s="120">
        <f>$C11+AA6+AB6</f>
        <v>2.5244601261292026</v>
      </c>
      <c r="AA7" s="120">
        <f>$C11+AB6+Z6</f>
        <v>0.64632904447742467</v>
      </c>
      <c r="AB7" s="120">
        <f>$C11+Z6+AA6</f>
        <v>2.5248230516157792</v>
      </c>
    </row>
    <row r="8" spans="1:31">
      <c r="A8" s="197" t="s">
        <v>237</v>
      </c>
      <c r="B8" s="197"/>
      <c r="C8" s="201">
        <f>'Temperature in bundle'!C12</f>
        <v>20</v>
      </c>
      <c r="D8" s="201"/>
      <c r="E8" s="201">
        <f>'Temperature in bundle'!C25</f>
        <v>45</v>
      </c>
      <c r="F8" s="201"/>
      <c r="G8" s="201">
        <f>'Temperature in bundle'!C35</f>
        <v>20</v>
      </c>
      <c r="H8" s="201"/>
      <c r="AD8" s="144" t="s">
        <v>308</v>
      </c>
      <c r="AE8" s="144" t="s">
        <v>308</v>
      </c>
    </row>
    <row r="9" spans="1:31">
      <c r="A9" s="197" t="s">
        <v>227</v>
      </c>
      <c r="B9" s="197"/>
      <c r="C9" s="202">
        <f>IF(C7="","",C7*(1+0.0039*(C8-20)))</f>
        <v>0.44568488497361342</v>
      </c>
      <c r="D9" s="202"/>
      <c r="E9" s="202">
        <f t="shared" ref="E9:G9" si="0">IF(E7="","",E7*(1+0.0039*(E8-20)))</f>
        <v>4.1973863219348972</v>
      </c>
      <c r="F9" s="202"/>
      <c r="G9" s="202">
        <f t="shared" si="0"/>
        <v>0.44568488497361342</v>
      </c>
      <c r="H9" s="202"/>
      <c r="K9" s="24"/>
      <c r="Y9" t="s">
        <v>307</v>
      </c>
      <c r="Z9" s="118">
        <f>ROUND(MAX(AB21:AB44),1)</f>
        <v>0.6</v>
      </c>
      <c r="AA9" s="118">
        <f>ROUND(MAX(AB51:AB249),1)</f>
        <v>0.4</v>
      </c>
      <c r="AB9" s="118">
        <f>ROUND(AB47,1)</f>
        <v>0.2</v>
      </c>
      <c r="AD9" s="144">
        <f>IF(ISERROR(Z10),1,IF(Z10&lt;=50,1,IF(Z10&gt;60,3,2)))</f>
        <v>1</v>
      </c>
      <c r="AE9" s="144">
        <f>IF(ISERROR(AA10),1,IF(AA10&lt;=50,1,IF(AA10&gt;60,3,2)))</f>
        <v>1</v>
      </c>
    </row>
    <row r="10" spans="1:31">
      <c r="A10" s="197" t="s">
        <v>228</v>
      </c>
      <c r="B10" s="197"/>
      <c r="C10" s="202">
        <f>IF(C9="","",C9*4/'Temperature in bundle'!$Q$8)</f>
        <v>0.22284244248680671</v>
      </c>
      <c r="D10" s="202"/>
      <c r="E10" s="202">
        <f>IF(E9="","",E9*4/'Temperature in bundle'!$Q$8)</f>
        <v>2.0986931609674486</v>
      </c>
      <c r="F10" s="202"/>
      <c r="G10" s="202">
        <f>IF(G9="","",G9*4/'Temperature in bundle'!$Q$8)</f>
        <v>0.22284244248680671</v>
      </c>
      <c r="H10" s="202"/>
      <c r="K10" s="24"/>
      <c r="Y10" t="s">
        <v>308</v>
      </c>
      <c r="Z10" s="112">
        <f>ROUND(Z9+C8,0)</f>
        <v>21</v>
      </c>
      <c r="AA10" s="112">
        <f>ROUND(AA9+E8,0)</f>
        <v>45</v>
      </c>
      <c r="AB10" s="112">
        <f>ROUND(AB9+G8,0)</f>
        <v>20</v>
      </c>
      <c r="AD10" s="144" t="s">
        <v>307</v>
      </c>
      <c r="AE10" s="144" t="s">
        <v>307</v>
      </c>
    </row>
    <row r="11" spans="1:31">
      <c r="A11" s="197" t="s">
        <v>231</v>
      </c>
      <c r="B11" s="197"/>
      <c r="C11" s="199">
        <v>0.2</v>
      </c>
      <c r="D11" s="199"/>
      <c r="E11" s="199"/>
      <c r="F11" s="199"/>
      <c r="G11" s="199"/>
      <c r="H11" s="199"/>
      <c r="Y11" t="s">
        <v>310</v>
      </c>
      <c r="Z11" s="22" t="str">
        <f>Z10&amp;"°C (+"&amp;Z9&amp;"°C)"</f>
        <v>21°C (+0,6°C)</v>
      </c>
      <c r="AA11" s="22" t="str">
        <f>AA10&amp;"°C (+"&amp;AA9&amp;"°C)"</f>
        <v>45°C (+0,4°C)</v>
      </c>
      <c r="AB11" s="22" t="str">
        <f>AB10&amp;"°C (+"&amp;AB9&amp;"°C)"</f>
        <v>20°C (+0,2°C)</v>
      </c>
      <c r="AD11" s="144">
        <f>IF(ISERROR(Z9),1,IF(Z9&lt;=10,1,IF(Z9&gt;15,3,2)))</f>
        <v>1</v>
      </c>
      <c r="AE11" s="144">
        <f>IF(ISERROR(AA9),1,IF(AA9&lt;=10,1,IF(AA9&gt;15,3,2)))</f>
        <v>1</v>
      </c>
    </row>
    <row r="12" spans="1:31">
      <c r="A12" s="197" t="s">
        <v>232</v>
      </c>
      <c r="B12" s="197"/>
      <c r="C12" s="200">
        <f>IF('Temperature in bundle'!$P$4="Current = 1A per pair",2,IF(OR(C10="",E10="",G10="",'Temperature in bundle'!Q7="",'Temperature in bundle'!Q6="",'Temperature in bundle'!Q8=""),"",('Temperature in bundle'!Q6-('Temperature in bundle'!Q6^2-4*SUM(C10:G11)*'Temperature in bundle'!Q7)^0.5)/2/SUM(C10:G11)))</f>
        <v>0.51453105392986931</v>
      </c>
      <c r="D12" s="200"/>
      <c r="E12" s="200"/>
      <c r="F12" s="200"/>
      <c r="G12" s="200"/>
      <c r="H12" s="200"/>
      <c r="AD12" s="144">
        <f>AD9*10+AD11</f>
        <v>11</v>
      </c>
      <c r="AE12" s="144">
        <f>AE9*10+AE11</f>
        <v>11</v>
      </c>
    </row>
    <row r="13" spans="1:31">
      <c r="A13" s="197" t="s">
        <v>12</v>
      </c>
      <c r="B13" s="197"/>
      <c r="C13" s="198">
        <f>IF(C$2="","",VLOOKUP(C$2,'Cable list'!$C:$R,13,FALSE))</f>
        <v>0.2</v>
      </c>
      <c r="D13" s="198"/>
      <c r="E13" s="198">
        <f>IF(E$2="","",VLOOKUP(E$2,'Cable list'!$C:$R,13,FALSE))</f>
        <v>0.4</v>
      </c>
      <c r="F13" s="198"/>
      <c r="G13" s="198">
        <f>IF(G$2="","",VLOOKUP(G$2,'Cable list'!$C:$R,13,FALSE))</f>
        <v>0.2</v>
      </c>
      <c r="H13" s="198"/>
      <c r="Y13" t="s">
        <v>311</v>
      </c>
      <c r="Z13">
        <f>IF(C2="","",IF(LEFT(C2,5)="AWG28",1.95,IF(LEFT(C2,5)="AWG26",1.5,"?")))</f>
        <v>1.95</v>
      </c>
      <c r="AA13">
        <f>IF(E2="","",1)</f>
        <v>1</v>
      </c>
      <c r="AB13">
        <f>IF(G2="","",IF(LEFT(G2,5)="AWG28",1.95,IF(LEFT(G2,5)="AWG26",1.5,"?")))</f>
        <v>1.95</v>
      </c>
    </row>
    <row r="14" spans="1:31">
      <c r="A14" s="197" t="s">
        <v>13</v>
      </c>
      <c r="B14" s="197"/>
      <c r="C14" s="198">
        <f>IF(C$2="","",VLOOKUP(C$2,'Cable list'!$C:$R,14,FALSE))</f>
        <v>0.2</v>
      </c>
      <c r="D14" s="198"/>
      <c r="E14" s="198">
        <f>IF(E$2="","",VLOOKUP(E$2,'Cable list'!$C:$R,14,FALSE))</f>
        <v>0.6</v>
      </c>
      <c r="F14" s="198"/>
      <c r="G14" s="198">
        <f>IF(G$2="","",VLOOKUP(G$2,'Cable list'!$C:$R,14,FALSE))</f>
        <v>0.2</v>
      </c>
      <c r="H14" s="198"/>
      <c r="Y14" t="s">
        <v>312</v>
      </c>
      <c r="Z14" s="121">
        <f>Z13*C3/(1-IF((MAX(AB21:AB44)+C8)&lt;40,((MAX(AB21:AB44)+C8)-20)*C13/100,((MAX(AB21:AB44)+C8)-40)*C14/100+20*C13/100))</f>
        <v>3.9047534459344706</v>
      </c>
      <c r="AA14" s="121">
        <f>AA13*E3/(1-IF((MAX(AB51:AB249)+E8)&lt;40,((MAX(AB51:AB249)+E8)-20)*E13/100,((MAX(AB51:AB249)+E8)-40)*E14/100+20*E13/100))</f>
        <v>56.327447955903061</v>
      </c>
      <c r="AB14" s="121">
        <f>AB13*G3/(1-IF((AB47+G8)&lt;40,((AB47+G8)-20)*G13/100,((AB47+G8)-40)*G14/100+20*G13/100))</f>
        <v>3.901262439283852</v>
      </c>
    </row>
    <row r="15" spans="1:31">
      <c r="A15" s="197" t="s">
        <v>271</v>
      </c>
      <c r="B15" s="197"/>
      <c r="C15" s="196">
        <f>IF(OR('Temperature in bundle'!C11="",'Temperature in bundle'!C11&lt;1,'Temperature in bundle'!C11&gt;24),"",'Temperature in bundle'!C11)</f>
        <v>12</v>
      </c>
      <c r="D15" s="196"/>
      <c r="E15" s="196">
        <f>IF(OR('Temperature in bundle'!C24="",'Temperature in bundle'!C24&lt;1),"",IF('Temperature in bundle'!C24&gt;24,24,'Temperature in bundle'!C24))</f>
        <v>24</v>
      </c>
      <c r="F15" s="196"/>
      <c r="G15" s="196">
        <v>1</v>
      </c>
      <c r="H15" s="196"/>
      <c r="Y15" t="s">
        <v>313</v>
      </c>
      <c r="Z15" s="121">
        <f>Z14+AA14+AB14</f>
        <v>64.133463841121383</v>
      </c>
    </row>
    <row r="16" spans="1:31">
      <c r="Y16" t="s">
        <v>314</v>
      </c>
      <c r="Z16" s="122">
        <f>Z15/104</f>
        <v>0.6166679215492441</v>
      </c>
      <c r="AA16" t="s">
        <v>315</v>
      </c>
      <c r="AB16" s="122">
        <f>AA14/90</f>
        <v>0.62586053284336729</v>
      </c>
    </row>
    <row r="18" spans="1:28">
      <c r="Y18" t="s">
        <v>316</v>
      </c>
      <c r="Z18" s="123">
        <f>Z2/C15</f>
        <v>5.9133530589667804E-2</v>
      </c>
      <c r="AA18" s="123">
        <f>AA2/E15</f>
        <v>0.55639128006928251</v>
      </c>
      <c r="AB18" s="123">
        <f>AB2</f>
        <v>5.9037441708852778E-2</v>
      </c>
    </row>
    <row r="20" spans="1:28">
      <c r="A20" t="s">
        <v>301</v>
      </c>
      <c r="B20" s="67" t="s">
        <v>261</v>
      </c>
      <c r="C20" s="67" t="s">
        <v>262</v>
      </c>
      <c r="D20" s="67" t="s">
        <v>263</v>
      </c>
      <c r="E20" s="99">
        <f>AVERAGE(E21:E44)</f>
        <v>0.5</v>
      </c>
      <c r="F20" s="99">
        <f>AVERAGE(F21:F44)</f>
        <v>0.28867513459481287</v>
      </c>
      <c r="G20" s="99"/>
      <c r="J20" s="115" t="s">
        <v>228</v>
      </c>
      <c r="K20" s="115" t="s">
        <v>232</v>
      </c>
      <c r="L20" s="11" t="s">
        <v>264</v>
      </c>
      <c r="M20" t="s">
        <v>265</v>
      </c>
      <c r="O20" s="115" t="s">
        <v>302</v>
      </c>
      <c r="P20" s="115" t="s">
        <v>303</v>
      </c>
      <c r="Q20" s="11" t="s">
        <v>304</v>
      </c>
      <c r="R20" t="s">
        <v>265</v>
      </c>
      <c r="T20" s="115" t="s">
        <v>302</v>
      </c>
      <c r="U20" s="115" t="s">
        <v>303</v>
      </c>
      <c r="V20" s="11" t="s">
        <v>304</v>
      </c>
      <c r="W20" t="s">
        <v>265</v>
      </c>
      <c r="Y20" s="115" t="s">
        <v>302</v>
      </c>
      <c r="Z20" s="115" t="s">
        <v>303</v>
      </c>
      <c r="AA20" s="11" t="s">
        <v>304</v>
      </c>
      <c r="AB20" t="s">
        <v>265</v>
      </c>
    </row>
    <row r="21" spans="1:28">
      <c r="A21">
        <v>1</v>
      </c>
      <c r="B21" s="97">
        <v>0</v>
      </c>
      <c r="C21" s="97">
        <v>0</v>
      </c>
      <c r="D21" s="97">
        <f t="shared" ref="D21:D44" si="1">(B21^2+C21^2)^0.5</f>
        <v>0</v>
      </c>
      <c r="E21" s="97">
        <f t="shared" ref="E21:E44" si="2">IF($A21="","",B21)</f>
        <v>0</v>
      </c>
      <c r="F21" s="97">
        <f t="shared" ref="F21:F44" si="3">IF($A21="","",C21)</f>
        <v>0</v>
      </c>
      <c r="G21" s="97">
        <f>IF(A21="","",((E$20-E21)^2+(F$20-F21)^2)^0.5)</f>
        <v>0.57735026918962573</v>
      </c>
      <c r="J21" s="116">
        <f>IF($A21="","",$C$10)</f>
        <v>0.22284244248680671</v>
      </c>
      <c r="K21" s="119">
        <f>IF($A21="","",$C$12)</f>
        <v>0.51453105392986931</v>
      </c>
      <c r="L21" s="98">
        <f>IF($A21="","",J21*K21^2)</f>
        <v>5.8995799693645302E-2</v>
      </c>
      <c r="M21" s="101">
        <f>IF($A21="","",K$3+K$4*(1-3.63*$G21^2/$C$15))</f>
        <v>0.60725657955914358</v>
      </c>
      <c r="O21" s="100">
        <f>IF($A21="","",$J21*(1+0.0039*M21))</f>
        <v>0.22337020039048675</v>
      </c>
      <c r="P21" s="119">
        <f>IF('Temperature in bundle'!$P$4="Current = 1A per pair",2,IF($A21="","",('Temperature in bundle'!$Q$6-('Temperature in bundle'!$Q$6^2-4*(O21+P$7)*'Temperature in bundle'!$Q$7)^0.5)/2/(O21+P$7)))</f>
        <v>0.51455040654658046</v>
      </c>
      <c r="Q21" s="98">
        <f>IF($A21="","",O21*P21^2)</f>
        <v>5.9139967996161891E-2</v>
      </c>
      <c r="R21" s="101">
        <f>IF($A21="","",P$3+P$4*(1-3.63*$G21^2/$C$15))</f>
        <v>0.60867100873224944</v>
      </c>
      <c r="T21" s="100">
        <f>IF($A21="","",$J21*(1+0.0039*R21))</f>
        <v>0.22337142965040821</v>
      </c>
      <c r="U21" s="119">
        <f>IF('Temperature in bundle'!$P$4="Current = 1A per pair",2,IF($A21="","",('Temperature in bundle'!$Q$6-('Temperature in bundle'!$Q$6^2-4*(T21+U$7)*'Temperature in bundle'!$Q$7)^0.5)/2/(T21+U$7)))</f>
        <v>0.51455043583765114</v>
      </c>
      <c r="V21" s="98">
        <f>IF($A21="","",T21*U21^2)</f>
        <v>5.9140300190814787E-2</v>
      </c>
      <c r="W21" s="101">
        <f>IF($A21="","",U$3+U$4*(1-3.63*$G21^2/$C$15))</f>
        <v>0.60867426613235076</v>
      </c>
      <c r="Y21" s="100">
        <f>IF($A21="","",$J21*(1+0.0039*W21))</f>
        <v>0.22337143248136751</v>
      </c>
      <c r="Z21" s="119">
        <f>IF('Temperature in bundle'!$P$4="Current = 1A per pair",2,IF($A21="","",('Temperature in bundle'!$Q$6-('Temperature in bundle'!$Q$6^2-4*(Y21+Z$7)*'Temperature in bundle'!$Q$7)^0.5)/2/(Y21+Z$7)))</f>
        <v>0.51455043588466587</v>
      </c>
      <c r="AA21" s="98">
        <f>IF($A21="","",Y21*Z21^2)</f>
        <v>5.914030095115301E-2</v>
      </c>
      <c r="AB21" s="101">
        <f>IF($A21="","",Z$3+Z$4*(1-3.63*$G21^2/$C$15))</f>
        <v>0.6086742735857108</v>
      </c>
    </row>
    <row r="22" spans="1:28">
      <c r="A22">
        <f>IF(A21&lt;C$15,A21+1,"")</f>
        <v>2</v>
      </c>
      <c r="B22" s="113">
        <v>1</v>
      </c>
      <c r="C22" s="113">
        <v>0</v>
      </c>
      <c r="D22" s="113">
        <f t="shared" si="1"/>
        <v>1</v>
      </c>
      <c r="E22" s="113">
        <f t="shared" si="2"/>
        <v>1</v>
      </c>
      <c r="F22" s="113">
        <f t="shared" si="3"/>
        <v>0</v>
      </c>
      <c r="G22" s="97">
        <f t="shared" ref="G22:G44" si="4">IF(A22="","",((E$20-E22)^2+(F$20-F22)^2)^0.5)</f>
        <v>0.57735026918962573</v>
      </c>
      <c r="J22" s="116">
        <f t="shared" ref="J22:J44" si="5">IF($A22="","",$C$10)</f>
        <v>0.22284244248680671</v>
      </c>
      <c r="K22" s="119">
        <f t="shared" ref="K22:K44" si="6">IF($A22="","",$C$12)</f>
        <v>0.51453105392986931</v>
      </c>
      <c r="L22" s="98">
        <f t="shared" ref="L22:L44" si="7">IF($A22="","",J22*K22^2)</f>
        <v>5.8995799693645302E-2</v>
      </c>
      <c r="M22" s="101">
        <f t="shared" ref="M22:M44" si="8">IF($A22="","",K$3+K$4*(1-3.63*$G22^2/$C$15))</f>
        <v>0.60725657955914358</v>
      </c>
      <c r="O22" s="100">
        <f t="shared" ref="O22:O44" si="9">IF($A22="","",$J22*(1+0.0039*M22))</f>
        <v>0.22337020039048675</v>
      </c>
      <c r="P22" s="119">
        <f>IF('Temperature in bundle'!$P$4="Current = 1A per pair",2,IF($A22="","",('Temperature in bundle'!$Q$6-('Temperature in bundle'!$Q$6^2-4*(O22+P$7)*'Temperature in bundle'!$Q$7)^0.5)/2/(O22+P$7)))</f>
        <v>0.51455040654658046</v>
      </c>
      <c r="Q22" s="98">
        <f t="shared" ref="Q22:Q44" si="10">IF($A22="","",O22*P22^2)</f>
        <v>5.9139967996161891E-2</v>
      </c>
      <c r="R22" s="101">
        <f t="shared" ref="R22:R44" si="11">IF($A22="","",P$3+P$4*(1-3.63*$G22^2/$C$15))</f>
        <v>0.60867100873224944</v>
      </c>
      <c r="T22" s="100">
        <f t="shared" ref="T22:T44" si="12">IF($A22="","",$J22*(1+0.0039*R22))</f>
        <v>0.22337142965040821</v>
      </c>
      <c r="U22" s="119">
        <f>IF('Temperature in bundle'!$P$4="Current = 1A per pair",2,IF($A22="","",('Temperature in bundle'!$Q$6-('Temperature in bundle'!$Q$6^2-4*(T22+U$7)*'Temperature in bundle'!$Q$7)^0.5)/2/(T22+U$7)))</f>
        <v>0.51455043583765114</v>
      </c>
      <c r="V22" s="98">
        <f t="shared" ref="V22:V44" si="13">IF($A22="","",T22*U22^2)</f>
        <v>5.9140300190814787E-2</v>
      </c>
      <c r="W22" s="101">
        <f t="shared" ref="W22:W44" si="14">IF($A22="","",U$3+U$4*(1-3.63*$G22^2/$C$15))</f>
        <v>0.60867426613235076</v>
      </c>
      <c r="Y22" s="100">
        <f t="shared" ref="Y22:Y44" si="15">IF($A22="","",$J22*(1+0.0039*W22))</f>
        <v>0.22337143248136751</v>
      </c>
      <c r="Z22" s="119">
        <f>IF('Temperature in bundle'!$P$4="Current = 1A per pair",2,IF($A22="","",('Temperature in bundle'!$Q$6-('Temperature in bundle'!$Q$6^2-4*(Y22+Z$7)*'Temperature in bundle'!$Q$7)^0.5)/2/(Y22+Z$7)))</f>
        <v>0.51455043588466587</v>
      </c>
      <c r="AA22" s="98">
        <f t="shared" ref="AA22:AA44" si="16">IF($A22="","",Y22*Z22^2)</f>
        <v>5.914030095115301E-2</v>
      </c>
      <c r="AB22" s="101">
        <f t="shared" ref="AB22:AB44" si="17">IF($A22="","",Z$3+Z$4*(1-3.63*$G22^2/$C$15))</f>
        <v>0.6086742735857108</v>
      </c>
    </row>
    <row r="23" spans="1:28">
      <c r="A23">
        <f t="shared" ref="A23:A44" si="18">IF(A22&lt;C$15,A22+1,"")</f>
        <v>3</v>
      </c>
      <c r="B23" s="113">
        <v>0.5</v>
      </c>
      <c r="C23" s="113">
        <f>SQRT(3)/2</f>
        <v>0.8660254037844386</v>
      </c>
      <c r="D23" s="113">
        <f t="shared" si="1"/>
        <v>1</v>
      </c>
      <c r="E23" s="113">
        <f t="shared" si="2"/>
        <v>0.5</v>
      </c>
      <c r="F23" s="113">
        <f t="shared" si="3"/>
        <v>0.8660254037844386</v>
      </c>
      <c r="G23" s="97">
        <f t="shared" si="4"/>
        <v>0.57735026918962573</v>
      </c>
      <c r="J23" s="116">
        <f t="shared" si="5"/>
        <v>0.22284244248680671</v>
      </c>
      <c r="K23" s="119">
        <f t="shared" si="6"/>
        <v>0.51453105392986931</v>
      </c>
      <c r="L23" s="98">
        <f t="shared" si="7"/>
        <v>5.8995799693645302E-2</v>
      </c>
      <c r="M23" s="101">
        <f t="shared" si="8"/>
        <v>0.60725657955914358</v>
      </c>
      <c r="O23" s="100">
        <f t="shared" si="9"/>
        <v>0.22337020039048675</v>
      </c>
      <c r="P23" s="119">
        <f>IF('Temperature in bundle'!$P$4="Current = 1A per pair",2,IF($A23="","",('Temperature in bundle'!$Q$6-('Temperature in bundle'!$Q$6^2-4*(O23+P$7)*'Temperature in bundle'!$Q$7)^0.5)/2/(O23+P$7)))</f>
        <v>0.51455040654658046</v>
      </c>
      <c r="Q23" s="98">
        <f t="shared" si="10"/>
        <v>5.9139967996161891E-2</v>
      </c>
      <c r="R23" s="101">
        <f t="shared" si="11"/>
        <v>0.60867100873224944</v>
      </c>
      <c r="T23" s="100">
        <f t="shared" si="12"/>
        <v>0.22337142965040821</v>
      </c>
      <c r="U23" s="119">
        <f>IF('Temperature in bundle'!$P$4="Current = 1A per pair",2,IF($A23="","",('Temperature in bundle'!$Q$6-('Temperature in bundle'!$Q$6^2-4*(T23+U$7)*'Temperature in bundle'!$Q$7)^0.5)/2/(T23+U$7)))</f>
        <v>0.51455043583765114</v>
      </c>
      <c r="V23" s="98">
        <f t="shared" si="13"/>
        <v>5.9140300190814787E-2</v>
      </c>
      <c r="W23" s="101">
        <f t="shared" si="14"/>
        <v>0.60867426613235076</v>
      </c>
      <c r="Y23" s="100">
        <f t="shared" si="15"/>
        <v>0.22337143248136751</v>
      </c>
      <c r="Z23" s="119">
        <f>IF('Temperature in bundle'!$P$4="Current = 1A per pair",2,IF($A23="","",('Temperature in bundle'!$Q$6-('Temperature in bundle'!$Q$6^2-4*(Y23+Z$7)*'Temperature in bundle'!$Q$7)^0.5)/2/(Y23+Z$7)))</f>
        <v>0.51455043588466587</v>
      </c>
      <c r="AA23" s="98">
        <f t="shared" si="16"/>
        <v>5.914030095115301E-2</v>
      </c>
      <c r="AB23" s="101">
        <f t="shared" si="17"/>
        <v>0.6086742735857108</v>
      </c>
    </row>
    <row r="24" spans="1:28">
      <c r="A24">
        <f t="shared" si="18"/>
        <v>4</v>
      </c>
      <c r="B24" s="113">
        <v>-0.5</v>
      </c>
      <c r="C24" s="113">
        <f>SQRT(3)/2</f>
        <v>0.8660254037844386</v>
      </c>
      <c r="D24" s="113">
        <f t="shared" si="1"/>
        <v>1</v>
      </c>
      <c r="E24" s="113">
        <f t="shared" si="2"/>
        <v>-0.5</v>
      </c>
      <c r="F24" s="113">
        <f t="shared" si="3"/>
        <v>0.8660254037844386</v>
      </c>
      <c r="G24" s="97">
        <f t="shared" si="4"/>
        <v>1.1547005383792515</v>
      </c>
      <c r="J24" s="116">
        <f t="shared" si="5"/>
        <v>0.22284244248680671</v>
      </c>
      <c r="K24" s="119">
        <f t="shared" si="6"/>
        <v>0.51453105392986931</v>
      </c>
      <c r="L24" s="98">
        <f t="shared" si="7"/>
        <v>5.8995799693645302E-2</v>
      </c>
      <c r="M24" s="101">
        <f t="shared" si="8"/>
        <v>0.58388651724002405</v>
      </c>
      <c r="O24" s="100">
        <f t="shared" si="9"/>
        <v>0.22334988980759052</v>
      </c>
      <c r="P24" s="119">
        <f>IF('Temperature in bundle'!$P$4="Current = 1A per pair",2,IF($A24="","",('Temperature in bundle'!$Q$6-('Temperature in bundle'!$Q$6^2-4*(O24+P$7)*'Temperature in bundle'!$Q$7)^0.5)/2/(O24+P$7)))</f>
        <v>0.51455029255000007</v>
      </c>
      <c r="Q24" s="98">
        <f t="shared" si="10"/>
        <v>5.9134564321097857E-2</v>
      </c>
      <c r="R24" s="101">
        <f t="shared" si="11"/>
        <v>0.58524651258888793</v>
      </c>
      <c r="T24" s="100">
        <f t="shared" si="12"/>
        <v>0.22335107175986324</v>
      </c>
      <c r="U24" s="119">
        <f>IF('Temperature in bundle'!$P$4="Current = 1A per pair",2,IF($A24="","",('Temperature in bundle'!$Q$6-('Temperature in bundle'!$Q$6^2-4*(T24+U$7)*'Temperature in bundle'!$Q$7)^0.5)/2/(T24+U$7)))</f>
        <v>0.51455032157552272</v>
      </c>
      <c r="V24" s="98">
        <f t="shared" si="13"/>
        <v>5.9134883928687119E-2</v>
      </c>
      <c r="W24" s="101">
        <f t="shared" si="14"/>
        <v>0.5852496446290576</v>
      </c>
      <c r="Y24" s="100">
        <f t="shared" si="15"/>
        <v>0.22335107448187405</v>
      </c>
      <c r="Z24" s="119">
        <f>IF('Temperature in bundle'!$P$4="Current = 1A per pair",2,IF($A24="","",('Temperature in bundle'!$Q$6-('Temperature in bundle'!$Q$6^2-4*(Y24+Z$7)*'Temperature in bundle'!$Q$7)^0.5)/2/(Y24+Z$7)))</f>
        <v>0.5145503216219256</v>
      </c>
      <c r="AA24" s="98">
        <f t="shared" si="16"/>
        <v>5.9134884660037974E-2</v>
      </c>
      <c r="AB24" s="101">
        <f t="shared" si="17"/>
        <v>0.58524965179557753</v>
      </c>
    </row>
    <row r="25" spans="1:28">
      <c r="A25">
        <f t="shared" si="18"/>
        <v>5</v>
      </c>
      <c r="B25" s="113">
        <v>-1</v>
      </c>
      <c r="C25" s="113">
        <v>0</v>
      </c>
      <c r="D25" s="113">
        <f t="shared" si="1"/>
        <v>1</v>
      </c>
      <c r="E25" s="113">
        <f t="shared" si="2"/>
        <v>-1</v>
      </c>
      <c r="F25" s="113">
        <f t="shared" si="3"/>
        <v>0</v>
      </c>
      <c r="G25" s="97">
        <f t="shared" si="4"/>
        <v>1.5275252316519468</v>
      </c>
      <c r="J25" s="116">
        <f t="shared" si="5"/>
        <v>0.22284244248680671</v>
      </c>
      <c r="K25" s="119">
        <f t="shared" si="6"/>
        <v>0.51453105392986931</v>
      </c>
      <c r="L25" s="98">
        <f t="shared" si="7"/>
        <v>5.8995799693645302E-2</v>
      </c>
      <c r="M25" s="101">
        <f t="shared" si="8"/>
        <v>0.56051645492090441</v>
      </c>
      <c r="O25" s="100">
        <f t="shared" si="9"/>
        <v>0.22332957922469435</v>
      </c>
      <c r="P25" s="119">
        <f>IF('Temperature in bundle'!$P$4="Current = 1A per pair",2,IF($A25="","",('Temperature in bundle'!$Q$6-('Temperature in bundle'!$Q$6^2-4*(O25+P$7)*'Temperature in bundle'!$Q$7)^0.5)/2/(O25+P$7)))</f>
        <v>0.51455017855352247</v>
      </c>
      <c r="Q25" s="98">
        <f t="shared" si="10"/>
        <v>5.9129160650828703E-2</v>
      </c>
      <c r="R25" s="101">
        <f t="shared" si="11"/>
        <v>0.56182201644552643</v>
      </c>
      <c r="T25" s="100">
        <f t="shared" si="12"/>
        <v>0.22333071386931827</v>
      </c>
      <c r="U25" s="119">
        <f>IF('Temperature in bundle'!$P$4="Current = 1A per pair",2,IF($A25="","",('Temperature in bundle'!$Q$6-('Temperature in bundle'!$Q$6^2-4*(T25+U$7)*'Temperature in bundle'!$Q$7)^0.5)/2/(T25+U$7)))</f>
        <v>0.5145502073134971</v>
      </c>
      <c r="V25" s="98">
        <f t="shared" si="13"/>
        <v>5.9129467671376577E-2</v>
      </c>
      <c r="W25" s="101">
        <f t="shared" si="14"/>
        <v>0.56182502312576432</v>
      </c>
      <c r="Y25" s="100">
        <f t="shared" si="15"/>
        <v>0.22333071648238056</v>
      </c>
      <c r="Z25" s="119">
        <f>IF('Temperature in bundle'!$P$4="Current = 1A per pair",2,IF($A25="","",('Temperature in bundle'!$Q$6-('Temperature in bundle'!$Q$6^2-4*(Y25+Z$7)*'Temperature in bundle'!$Q$7)^0.5)/2/(Y25+Z$7)))</f>
        <v>0.51455020735928825</v>
      </c>
      <c r="AA25" s="98">
        <f t="shared" si="16"/>
        <v>5.9129468373740127E-2</v>
      </c>
      <c r="AB25" s="101">
        <f t="shared" si="17"/>
        <v>0.56182503000544415</v>
      </c>
    </row>
    <row r="26" spans="1:28">
      <c r="A26">
        <f t="shared" si="18"/>
        <v>6</v>
      </c>
      <c r="B26" s="113">
        <v>-0.5</v>
      </c>
      <c r="C26" s="113">
        <f>-SQRT(3)/2</f>
        <v>-0.8660254037844386</v>
      </c>
      <c r="D26" s="113">
        <f t="shared" si="1"/>
        <v>1</v>
      </c>
      <c r="E26" s="113">
        <f t="shared" si="2"/>
        <v>-0.5</v>
      </c>
      <c r="F26" s="113">
        <f t="shared" si="3"/>
        <v>-0.8660254037844386</v>
      </c>
      <c r="G26" s="97">
        <f t="shared" si="4"/>
        <v>1.5275252316519465</v>
      </c>
      <c r="J26" s="116">
        <f t="shared" si="5"/>
        <v>0.22284244248680671</v>
      </c>
      <c r="K26" s="119">
        <f t="shared" si="6"/>
        <v>0.51453105392986931</v>
      </c>
      <c r="L26" s="98">
        <f t="shared" si="7"/>
        <v>5.8995799693645302E-2</v>
      </c>
      <c r="M26" s="101">
        <f t="shared" si="8"/>
        <v>0.56051645492090441</v>
      </c>
      <c r="O26" s="100">
        <f t="shared" si="9"/>
        <v>0.22332957922469435</v>
      </c>
      <c r="P26" s="119">
        <f>IF('Temperature in bundle'!$P$4="Current = 1A per pair",2,IF($A26="","",('Temperature in bundle'!$Q$6-('Temperature in bundle'!$Q$6^2-4*(O26+P$7)*'Temperature in bundle'!$Q$7)^0.5)/2/(O26+P$7)))</f>
        <v>0.51455017855352247</v>
      </c>
      <c r="Q26" s="98">
        <f t="shared" si="10"/>
        <v>5.9129160650828703E-2</v>
      </c>
      <c r="R26" s="101">
        <f t="shared" si="11"/>
        <v>0.56182201644552643</v>
      </c>
      <c r="T26" s="100">
        <f t="shared" si="12"/>
        <v>0.22333071386931827</v>
      </c>
      <c r="U26" s="119">
        <f>IF('Temperature in bundle'!$P$4="Current = 1A per pair",2,IF($A26="","",('Temperature in bundle'!$Q$6-('Temperature in bundle'!$Q$6^2-4*(T26+U$7)*'Temperature in bundle'!$Q$7)^0.5)/2/(T26+U$7)))</f>
        <v>0.5145502073134971</v>
      </c>
      <c r="V26" s="98">
        <f t="shared" si="13"/>
        <v>5.9129467671376577E-2</v>
      </c>
      <c r="W26" s="101">
        <f t="shared" si="14"/>
        <v>0.56182502312576432</v>
      </c>
      <c r="Y26" s="100">
        <f t="shared" si="15"/>
        <v>0.22333071648238056</v>
      </c>
      <c r="Z26" s="119">
        <f>IF('Temperature in bundle'!$P$4="Current = 1A per pair",2,IF($A26="","",('Temperature in bundle'!$Q$6-('Temperature in bundle'!$Q$6^2-4*(Y26+Z$7)*'Temperature in bundle'!$Q$7)^0.5)/2/(Y26+Z$7)))</f>
        <v>0.51455020735928825</v>
      </c>
      <c r="AA26" s="98">
        <f t="shared" si="16"/>
        <v>5.9129468373740127E-2</v>
      </c>
      <c r="AB26" s="101">
        <f t="shared" si="17"/>
        <v>0.56182503000544426</v>
      </c>
    </row>
    <row r="27" spans="1:28">
      <c r="A27">
        <f t="shared" si="18"/>
        <v>7</v>
      </c>
      <c r="B27" s="113">
        <v>0.5</v>
      </c>
      <c r="C27" s="113">
        <f>-SQRT(3)/2</f>
        <v>-0.8660254037844386</v>
      </c>
      <c r="D27" s="113">
        <f t="shared" si="1"/>
        <v>1</v>
      </c>
      <c r="E27" s="113">
        <f t="shared" si="2"/>
        <v>0.5</v>
      </c>
      <c r="F27" s="113">
        <f t="shared" si="3"/>
        <v>-0.8660254037844386</v>
      </c>
      <c r="G27" s="97">
        <f t="shared" si="4"/>
        <v>1.1547005383792515</v>
      </c>
      <c r="J27" s="116">
        <f t="shared" si="5"/>
        <v>0.22284244248680671</v>
      </c>
      <c r="K27" s="119">
        <f t="shared" si="6"/>
        <v>0.51453105392986931</v>
      </c>
      <c r="L27" s="98">
        <f t="shared" si="7"/>
        <v>5.8995799693645302E-2</v>
      </c>
      <c r="M27" s="101">
        <f t="shared" si="8"/>
        <v>0.58388651724002405</v>
      </c>
      <c r="O27" s="100">
        <f t="shared" si="9"/>
        <v>0.22334988980759052</v>
      </c>
      <c r="P27" s="119">
        <f>IF('Temperature in bundle'!$P$4="Current = 1A per pair",2,IF($A27="","",('Temperature in bundle'!$Q$6-('Temperature in bundle'!$Q$6^2-4*(O27+P$7)*'Temperature in bundle'!$Q$7)^0.5)/2/(O27+P$7)))</f>
        <v>0.51455029255000007</v>
      </c>
      <c r="Q27" s="98">
        <f t="shared" si="10"/>
        <v>5.9134564321097857E-2</v>
      </c>
      <c r="R27" s="101">
        <f t="shared" si="11"/>
        <v>0.58524651258888793</v>
      </c>
      <c r="T27" s="100">
        <f t="shared" si="12"/>
        <v>0.22335107175986324</v>
      </c>
      <c r="U27" s="119">
        <f>IF('Temperature in bundle'!$P$4="Current = 1A per pair",2,IF($A27="","",('Temperature in bundle'!$Q$6-('Temperature in bundle'!$Q$6^2-4*(T27+U$7)*'Temperature in bundle'!$Q$7)^0.5)/2/(T27+U$7)))</f>
        <v>0.51455032157552272</v>
      </c>
      <c r="V27" s="98">
        <f t="shared" si="13"/>
        <v>5.9134883928687119E-2</v>
      </c>
      <c r="W27" s="101">
        <f t="shared" si="14"/>
        <v>0.5852496446290576</v>
      </c>
      <c r="Y27" s="100">
        <f t="shared" si="15"/>
        <v>0.22335107448187405</v>
      </c>
      <c r="Z27" s="119">
        <f>IF('Temperature in bundle'!$P$4="Current = 1A per pair",2,IF($A27="","",('Temperature in bundle'!$Q$6-('Temperature in bundle'!$Q$6^2-4*(Y27+Z$7)*'Temperature in bundle'!$Q$7)^0.5)/2/(Y27+Z$7)))</f>
        <v>0.5145503216219256</v>
      </c>
      <c r="AA27" s="98">
        <f t="shared" si="16"/>
        <v>5.9134884660037974E-2</v>
      </c>
      <c r="AB27" s="101">
        <f t="shared" si="17"/>
        <v>0.58524965179557753</v>
      </c>
    </row>
    <row r="28" spans="1:28">
      <c r="A28">
        <f t="shared" si="18"/>
        <v>8</v>
      </c>
      <c r="B28" s="113">
        <v>1.5</v>
      </c>
      <c r="C28" s="113">
        <f>-SQRT(3)/2</f>
        <v>-0.8660254037844386</v>
      </c>
      <c r="D28" s="113">
        <f t="shared" si="1"/>
        <v>1.7320508075688772</v>
      </c>
      <c r="E28" s="113">
        <f t="shared" si="2"/>
        <v>1.5</v>
      </c>
      <c r="F28" s="113">
        <f t="shared" si="3"/>
        <v>-0.8660254037844386</v>
      </c>
      <c r="G28" s="97">
        <f t="shared" si="4"/>
        <v>1.5275252316519465</v>
      </c>
      <c r="J28" s="116">
        <f t="shared" si="5"/>
        <v>0.22284244248680671</v>
      </c>
      <c r="K28" s="119">
        <f t="shared" si="6"/>
        <v>0.51453105392986931</v>
      </c>
      <c r="L28" s="98">
        <f t="shared" si="7"/>
        <v>5.8995799693645302E-2</v>
      </c>
      <c r="M28" s="101">
        <f t="shared" si="8"/>
        <v>0.56051645492090441</v>
      </c>
      <c r="O28" s="100">
        <f t="shared" si="9"/>
        <v>0.22332957922469435</v>
      </c>
      <c r="P28" s="119">
        <f>IF('Temperature in bundle'!$P$4="Current = 1A per pair",2,IF($A28="","",('Temperature in bundle'!$Q$6-('Temperature in bundle'!$Q$6^2-4*(O28+P$7)*'Temperature in bundle'!$Q$7)^0.5)/2/(O28+P$7)))</f>
        <v>0.51455017855352247</v>
      </c>
      <c r="Q28" s="98">
        <f t="shared" si="10"/>
        <v>5.9129160650828703E-2</v>
      </c>
      <c r="R28" s="101">
        <f t="shared" si="11"/>
        <v>0.56182201644552643</v>
      </c>
      <c r="T28" s="100">
        <f t="shared" si="12"/>
        <v>0.22333071386931827</v>
      </c>
      <c r="U28" s="119">
        <f>IF('Temperature in bundle'!$P$4="Current = 1A per pair",2,IF($A28="","",('Temperature in bundle'!$Q$6-('Temperature in bundle'!$Q$6^2-4*(T28+U$7)*'Temperature in bundle'!$Q$7)^0.5)/2/(T28+U$7)))</f>
        <v>0.5145502073134971</v>
      </c>
      <c r="V28" s="98">
        <f t="shared" si="13"/>
        <v>5.9129467671376577E-2</v>
      </c>
      <c r="W28" s="101">
        <f t="shared" si="14"/>
        <v>0.56182502312576432</v>
      </c>
      <c r="Y28" s="100">
        <f t="shared" si="15"/>
        <v>0.22333071648238056</v>
      </c>
      <c r="Z28" s="119">
        <f>IF('Temperature in bundle'!$P$4="Current = 1A per pair",2,IF($A28="","",('Temperature in bundle'!$Q$6-('Temperature in bundle'!$Q$6^2-4*(Y28+Z$7)*'Temperature in bundle'!$Q$7)^0.5)/2/(Y28+Z$7)))</f>
        <v>0.51455020735928825</v>
      </c>
      <c r="AA28" s="98">
        <f t="shared" si="16"/>
        <v>5.9129468373740127E-2</v>
      </c>
      <c r="AB28" s="101">
        <f t="shared" si="17"/>
        <v>0.56182503000544426</v>
      </c>
    </row>
    <row r="29" spans="1:28">
      <c r="A29">
        <f t="shared" si="18"/>
        <v>9</v>
      </c>
      <c r="B29" s="113">
        <v>2</v>
      </c>
      <c r="C29" s="113">
        <v>0</v>
      </c>
      <c r="D29" s="113">
        <f t="shared" si="1"/>
        <v>2</v>
      </c>
      <c r="E29" s="113">
        <f t="shared" si="2"/>
        <v>2</v>
      </c>
      <c r="F29" s="113">
        <f t="shared" si="3"/>
        <v>0</v>
      </c>
      <c r="G29" s="97">
        <f t="shared" si="4"/>
        <v>1.5275252316519468</v>
      </c>
      <c r="J29" s="116">
        <f t="shared" si="5"/>
        <v>0.22284244248680671</v>
      </c>
      <c r="K29" s="119">
        <f t="shared" si="6"/>
        <v>0.51453105392986931</v>
      </c>
      <c r="L29" s="98">
        <f t="shared" si="7"/>
        <v>5.8995799693645302E-2</v>
      </c>
      <c r="M29" s="101">
        <f t="shared" si="8"/>
        <v>0.56051645492090441</v>
      </c>
      <c r="O29" s="100">
        <f t="shared" si="9"/>
        <v>0.22332957922469435</v>
      </c>
      <c r="P29" s="119">
        <f>IF('Temperature in bundle'!$P$4="Current = 1A per pair",2,IF($A29="","",('Temperature in bundle'!$Q$6-('Temperature in bundle'!$Q$6^2-4*(O29+P$7)*'Temperature in bundle'!$Q$7)^0.5)/2/(O29+P$7)))</f>
        <v>0.51455017855352247</v>
      </c>
      <c r="Q29" s="98">
        <f t="shared" si="10"/>
        <v>5.9129160650828703E-2</v>
      </c>
      <c r="R29" s="101">
        <f t="shared" si="11"/>
        <v>0.56182201644552643</v>
      </c>
      <c r="T29" s="100">
        <f t="shared" si="12"/>
        <v>0.22333071386931827</v>
      </c>
      <c r="U29" s="119">
        <f>IF('Temperature in bundle'!$P$4="Current = 1A per pair",2,IF($A29="","",('Temperature in bundle'!$Q$6-('Temperature in bundle'!$Q$6^2-4*(T29+U$7)*'Temperature in bundle'!$Q$7)^0.5)/2/(T29+U$7)))</f>
        <v>0.5145502073134971</v>
      </c>
      <c r="V29" s="98">
        <f t="shared" si="13"/>
        <v>5.9129467671376577E-2</v>
      </c>
      <c r="W29" s="101">
        <f t="shared" si="14"/>
        <v>0.56182502312576432</v>
      </c>
      <c r="Y29" s="100">
        <f t="shared" si="15"/>
        <v>0.22333071648238056</v>
      </c>
      <c r="Z29" s="119">
        <f>IF('Temperature in bundle'!$P$4="Current = 1A per pair",2,IF($A29="","",('Temperature in bundle'!$Q$6-('Temperature in bundle'!$Q$6^2-4*(Y29+Z$7)*'Temperature in bundle'!$Q$7)^0.5)/2/(Y29+Z$7)))</f>
        <v>0.51455020735928825</v>
      </c>
      <c r="AA29" s="98">
        <f t="shared" si="16"/>
        <v>5.9129468373740127E-2</v>
      </c>
      <c r="AB29" s="101">
        <f t="shared" si="17"/>
        <v>0.56182503000544415</v>
      </c>
    </row>
    <row r="30" spans="1:28">
      <c r="A30">
        <f t="shared" si="18"/>
        <v>10</v>
      </c>
      <c r="B30" s="113">
        <v>1.5</v>
      </c>
      <c r="C30" s="113">
        <f>SQRT(3)/2</f>
        <v>0.8660254037844386</v>
      </c>
      <c r="D30" s="113">
        <f t="shared" si="1"/>
        <v>1.7320508075688772</v>
      </c>
      <c r="E30" s="113">
        <f t="shared" si="2"/>
        <v>1.5</v>
      </c>
      <c r="F30" s="113">
        <f t="shared" si="3"/>
        <v>0.8660254037844386</v>
      </c>
      <c r="G30" s="97">
        <f t="shared" si="4"/>
        <v>1.1547005383792515</v>
      </c>
      <c r="J30" s="116">
        <f t="shared" si="5"/>
        <v>0.22284244248680671</v>
      </c>
      <c r="K30" s="119">
        <f t="shared" si="6"/>
        <v>0.51453105392986931</v>
      </c>
      <c r="L30" s="98">
        <f t="shared" si="7"/>
        <v>5.8995799693645302E-2</v>
      </c>
      <c r="M30" s="101">
        <f t="shared" si="8"/>
        <v>0.58388651724002405</v>
      </c>
      <c r="O30" s="100">
        <f t="shared" si="9"/>
        <v>0.22334988980759052</v>
      </c>
      <c r="P30" s="119">
        <f>IF('Temperature in bundle'!$P$4="Current = 1A per pair",2,IF($A30="","",('Temperature in bundle'!$Q$6-('Temperature in bundle'!$Q$6^2-4*(O30+P$7)*'Temperature in bundle'!$Q$7)^0.5)/2/(O30+P$7)))</f>
        <v>0.51455029255000007</v>
      </c>
      <c r="Q30" s="98">
        <f t="shared" si="10"/>
        <v>5.9134564321097857E-2</v>
      </c>
      <c r="R30" s="101">
        <f t="shared" si="11"/>
        <v>0.58524651258888793</v>
      </c>
      <c r="T30" s="100">
        <f t="shared" si="12"/>
        <v>0.22335107175986324</v>
      </c>
      <c r="U30" s="119">
        <f>IF('Temperature in bundle'!$P$4="Current = 1A per pair",2,IF($A30="","",('Temperature in bundle'!$Q$6-('Temperature in bundle'!$Q$6^2-4*(T30+U$7)*'Temperature in bundle'!$Q$7)^0.5)/2/(T30+U$7)))</f>
        <v>0.51455032157552272</v>
      </c>
      <c r="V30" s="98">
        <f t="shared" si="13"/>
        <v>5.9134883928687119E-2</v>
      </c>
      <c r="W30" s="101">
        <f t="shared" si="14"/>
        <v>0.5852496446290576</v>
      </c>
      <c r="Y30" s="100">
        <f t="shared" si="15"/>
        <v>0.22335107448187405</v>
      </c>
      <c r="Z30" s="119">
        <f>IF('Temperature in bundle'!$P$4="Current = 1A per pair",2,IF($A30="","",('Temperature in bundle'!$Q$6-('Temperature in bundle'!$Q$6^2-4*(Y30+Z$7)*'Temperature in bundle'!$Q$7)^0.5)/2/(Y30+Z$7)))</f>
        <v>0.5145503216219256</v>
      </c>
      <c r="AA30" s="98">
        <f t="shared" si="16"/>
        <v>5.9134884660037974E-2</v>
      </c>
      <c r="AB30" s="101">
        <f t="shared" si="17"/>
        <v>0.58524965179557753</v>
      </c>
    </row>
    <row r="31" spans="1:28">
      <c r="A31">
        <f t="shared" si="18"/>
        <v>11</v>
      </c>
      <c r="B31" s="113">
        <v>1</v>
      </c>
      <c r="C31" s="113">
        <f>SQRT(3)</f>
        <v>1.7320508075688772</v>
      </c>
      <c r="D31" s="113">
        <f t="shared" si="1"/>
        <v>2</v>
      </c>
      <c r="E31" s="113">
        <f t="shared" si="2"/>
        <v>1</v>
      </c>
      <c r="F31" s="113">
        <f t="shared" si="3"/>
        <v>1.7320508075688772</v>
      </c>
      <c r="G31" s="97">
        <f t="shared" si="4"/>
        <v>1.5275252316519465</v>
      </c>
      <c r="J31" s="116">
        <f t="shared" si="5"/>
        <v>0.22284244248680671</v>
      </c>
      <c r="K31" s="119">
        <f t="shared" si="6"/>
        <v>0.51453105392986931</v>
      </c>
      <c r="L31" s="98">
        <f t="shared" si="7"/>
        <v>5.8995799693645302E-2</v>
      </c>
      <c r="M31" s="101">
        <f t="shared" si="8"/>
        <v>0.56051645492090441</v>
      </c>
      <c r="O31" s="100">
        <f t="shared" si="9"/>
        <v>0.22332957922469435</v>
      </c>
      <c r="P31" s="119">
        <f>IF('Temperature in bundle'!$P$4="Current = 1A per pair",2,IF($A31="","",('Temperature in bundle'!$Q$6-('Temperature in bundle'!$Q$6^2-4*(O31+P$7)*'Temperature in bundle'!$Q$7)^0.5)/2/(O31+P$7)))</f>
        <v>0.51455017855352247</v>
      </c>
      <c r="Q31" s="98">
        <f t="shared" si="10"/>
        <v>5.9129160650828703E-2</v>
      </c>
      <c r="R31" s="101">
        <f t="shared" si="11"/>
        <v>0.56182201644552643</v>
      </c>
      <c r="T31" s="100">
        <f t="shared" si="12"/>
        <v>0.22333071386931827</v>
      </c>
      <c r="U31" s="119">
        <f>IF('Temperature in bundle'!$P$4="Current = 1A per pair",2,IF($A31="","",('Temperature in bundle'!$Q$6-('Temperature in bundle'!$Q$6^2-4*(T31+U$7)*'Temperature in bundle'!$Q$7)^0.5)/2/(T31+U$7)))</f>
        <v>0.5145502073134971</v>
      </c>
      <c r="V31" s="98">
        <f t="shared" si="13"/>
        <v>5.9129467671376577E-2</v>
      </c>
      <c r="W31" s="101">
        <f t="shared" si="14"/>
        <v>0.56182502312576432</v>
      </c>
      <c r="Y31" s="100">
        <f t="shared" si="15"/>
        <v>0.22333071648238056</v>
      </c>
      <c r="Z31" s="119">
        <f>IF('Temperature in bundle'!$P$4="Current = 1A per pair",2,IF($A31="","",('Temperature in bundle'!$Q$6-('Temperature in bundle'!$Q$6^2-4*(Y31+Z$7)*'Temperature in bundle'!$Q$7)^0.5)/2/(Y31+Z$7)))</f>
        <v>0.51455020735928825</v>
      </c>
      <c r="AA31" s="98">
        <f t="shared" si="16"/>
        <v>5.9129468373740127E-2</v>
      </c>
      <c r="AB31" s="101">
        <f t="shared" si="17"/>
        <v>0.56182503000544426</v>
      </c>
    </row>
    <row r="32" spans="1:28">
      <c r="A32">
        <f t="shared" si="18"/>
        <v>12</v>
      </c>
      <c r="B32" s="113">
        <v>0</v>
      </c>
      <c r="C32" s="113">
        <f>SQRT(3)</f>
        <v>1.7320508075688772</v>
      </c>
      <c r="D32" s="113">
        <f t="shared" si="1"/>
        <v>1.7320508075688772</v>
      </c>
      <c r="E32" s="113">
        <f t="shared" si="2"/>
        <v>0</v>
      </c>
      <c r="F32" s="113">
        <f t="shared" si="3"/>
        <v>1.7320508075688772</v>
      </c>
      <c r="G32" s="97">
        <f t="shared" si="4"/>
        <v>1.5275252316519465</v>
      </c>
      <c r="J32" s="116">
        <f t="shared" si="5"/>
        <v>0.22284244248680671</v>
      </c>
      <c r="K32" s="119">
        <f t="shared" si="6"/>
        <v>0.51453105392986931</v>
      </c>
      <c r="L32" s="98">
        <f t="shared" si="7"/>
        <v>5.8995799693645302E-2</v>
      </c>
      <c r="M32" s="101">
        <f t="shared" si="8"/>
        <v>0.56051645492090441</v>
      </c>
      <c r="O32" s="100">
        <f t="shared" si="9"/>
        <v>0.22332957922469435</v>
      </c>
      <c r="P32" s="119">
        <f>IF('Temperature in bundle'!$P$4="Current = 1A per pair",2,IF($A32="","",('Temperature in bundle'!$Q$6-('Temperature in bundle'!$Q$6^2-4*(O32+P$7)*'Temperature in bundle'!$Q$7)^0.5)/2/(O32+P$7)))</f>
        <v>0.51455017855352247</v>
      </c>
      <c r="Q32" s="98">
        <f t="shared" si="10"/>
        <v>5.9129160650828703E-2</v>
      </c>
      <c r="R32" s="101">
        <f t="shared" si="11"/>
        <v>0.56182201644552643</v>
      </c>
      <c r="T32" s="100">
        <f t="shared" si="12"/>
        <v>0.22333071386931827</v>
      </c>
      <c r="U32" s="119">
        <f>IF('Temperature in bundle'!$P$4="Current = 1A per pair",2,IF($A32="","",('Temperature in bundle'!$Q$6-('Temperature in bundle'!$Q$6^2-4*(T32+U$7)*'Temperature in bundle'!$Q$7)^0.5)/2/(T32+U$7)))</f>
        <v>0.5145502073134971</v>
      </c>
      <c r="V32" s="98">
        <f t="shared" si="13"/>
        <v>5.9129467671376577E-2</v>
      </c>
      <c r="W32" s="101">
        <f t="shared" si="14"/>
        <v>0.56182502312576432</v>
      </c>
      <c r="Y32" s="100">
        <f t="shared" si="15"/>
        <v>0.22333071648238056</v>
      </c>
      <c r="Z32" s="119">
        <f>IF('Temperature in bundle'!$P$4="Current = 1A per pair",2,IF($A32="","",('Temperature in bundle'!$Q$6-('Temperature in bundle'!$Q$6^2-4*(Y32+Z$7)*'Temperature in bundle'!$Q$7)^0.5)/2/(Y32+Z$7)))</f>
        <v>0.51455020735928825</v>
      </c>
      <c r="AA32" s="98">
        <f t="shared" si="16"/>
        <v>5.9129468373740127E-2</v>
      </c>
      <c r="AB32" s="101">
        <f t="shared" si="17"/>
        <v>0.56182503000544426</v>
      </c>
    </row>
    <row r="33" spans="1:28">
      <c r="A33" t="str">
        <f t="shared" si="18"/>
        <v/>
      </c>
      <c r="B33" s="113">
        <v>-1</v>
      </c>
      <c r="C33" s="113">
        <f>SQRT(3)</f>
        <v>1.7320508075688772</v>
      </c>
      <c r="D33" s="113">
        <f t="shared" si="1"/>
        <v>2</v>
      </c>
      <c r="E33" s="113" t="str">
        <f t="shared" si="2"/>
        <v/>
      </c>
      <c r="F33" s="113" t="str">
        <f t="shared" si="3"/>
        <v/>
      </c>
      <c r="G33" s="97" t="str">
        <f t="shared" si="4"/>
        <v/>
      </c>
      <c r="J33" s="116" t="str">
        <f t="shared" si="5"/>
        <v/>
      </c>
      <c r="K33" s="119" t="str">
        <f t="shared" si="6"/>
        <v/>
      </c>
      <c r="L33" s="98" t="str">
        <f t="shared" si="7"/>
        <v/>
      </c>
      <c r="M33" s="101" t="str">
        <f t="shared" si="8"/>
        <v/>
      </c>
      <c r="O33" s="100" t="str">
        <f t="shared" si="9"/>
        <v/>
      </c>
      <c r="P33" s="119" t="str">
        <f>IF('Temperature in bundle'!$P$4="Current = 1A per pair",2,IF($A33="","",('Temperature in bundle'!$Q$6-('Temperature in bundle'!$Q$6^2-4*(O33+P$7)*'Temperature in bundle'!$Q$7)^0.5)/2/(O33+P$7)))</f>
        <v/>
      </c>
      <c r="Q33" s="98" t="str">
        <f t="shared" si="10"/>
        <v/>
      </c>
      <c r="R33" s="101" t="str">
        <f t="shared" si="11"/>
        <v/>
      </c>
      <c r="T33" s="100" t="str">
        <f t="shared" si="12"/>
        <v/>
      </c>
      <c r="U33" s="119" t="str">
        <f>IF('Temperature in bundle'!$P$4="Current = 1A per pair",2,IF($A33="","",('Temperature in bundle'!$Q$6-('Temperature in bundle'!$Q$6^2-4*(T33+U$7)*'Temperature in bundle'!$Q$7)^0.5)/2/(T33+U$7)))</f>
        <v/>
      </c>
      <c r="V33" s="98" t="str">
        <f t="shared" si="13"/>
        <v/>
      </c>
      <c r="W33" s="101" t="str">
        <f t="shared" si="14"/>
        <v/>
      </c>
      <c r="Y33" s="100" t="str">
        <f t="shared" si="15"/>
        <v/>
      </c>
      <c r="Z33" s="119" t="str">
        <f>IF('Temperature in bundle'!$P$4="Current = 1A per pair",2,IF($A33="","",('Temperature in bundle'!$Q$6-('Temperature in bundle'!$Q$6^2-4*(Y33+Z$7)*'Temperature in bundle'!$Q$7)^0.5)/2/(Y33+Z$7)))</f>
        <v/>
      </c>
      <c r="AA33" s="98" t="str">
        <f t="shared" si="16"/>
        <v/>
      </c>
      <c r="AB33" s="101" t="str">
        <f t="shared" si="17"/>
        <v/>
      </c>
    </row>
    <row r="34" spans="1:28">
      <c r="A34" t="str">
        <f t="shared" si="18"/>
        <v/>
      </c>
      <c r="B34" s="113">
        <v>-1.5</v>
      </c>
      <c r="C34" s="113">
        <f>SQRT(3)/2</f>
        <v>0.8660254037844386</v>
      </c>
      <c r="D34" s="113">
        <f t="shared" si="1"/>
        <v>1.7320508075688772</v>
      </c>
      <c r="E34" s="113" t="str">
        <f t="shared" si="2"/>
        <v/>
      </c>
      <c r="F34" s="113" t="str">
        <f t="shared" si="3"/>
        <v/>
      </c>
      <c r="G34" s="97" t="str">
        <f t="shared" si="4"/>
        <v/>
      </c>
      <c r="J34" s="116" t="str">
        <f t="shared" si="5"/>
        <v/>
      </c>
      <c r="K34" s="119" t="str">
        <f t="shared" si="6"/>
        <v/>
      </c>
      <c r="L34" s="98" t="str">
        <f t="shared" si="7"/>
        <v/>
      </c>
      <c r="M34" s="101" t="str">
        <f t="shared" si="8"/>
        <v/>
      </c>
      <c r="O34" s="100" t="str">
        <f t="shared" si="9"/>
        <v/>
      </c>
      <c r="P34" s="119" t="str">
        <f>IF('Temperature in bundle'!$P$4="Current = 1A per pair",2,IF($A34="","",('Temperature in bundle'!$Q$6-('Temperature in bundle'!$Q$6^2-4*(O34+P$7)*'Temperature in bundle'!$Q$7)^0.5)/2/(O34+P$7)))</f>
        <v/>
      </c>
      <c r="Q34" s="98" t="str">
        <f t="shared" si="10"/>
        <v/>
      </c>
      <c r="R34" s="101" t="str">
        <f t="shared" si="11"/>
        <v/>
      </c>
      <c r="T34" s="100" t="str">
        <f t="shared" si="12"/>
        <v/>
      </c>
      <c r="U34" s="119" t="str">
        <f>IF('Temperature in bundle'!$P$4="Current = 1A per pair",2,IF($A34="","",('Temperature in bundle'!$Q$6-('Temperature in bundle'!$Q$6^2-4*(T34+U$7)*'Temperature in bundle'!$Q$7)^0.5)/2/(T34+U$7)))</f>
        <v/>
      </c>
      <c r="V34" s="98" t="str">
        <f t="shared" si="13"/>
        <v/>
      </c>
      <c r="W34" s="101" t="str">
        <f t="shared" si="14"/>
        <v/>
      </c>
      <c r="Y34" s="100" t="str">
        <f t="shared" si="15"/>
        <v/>
      </c>
      <c r="Z34" s="119" t="str">
        <f>IF('Temperature in bundle'!$P$4="Current = 1A per pair",2,IF($A34="","",('Temperature in bundle'!$Q$6-('Temperature in bundle'!$Q$6^2-4*(Y34+Z$7)*'Temperature in bundle'!$Q$7)^0.5)/2/(Y34+Z$7)))</f>
        <v/>
      </c>
      <c r="AA34" s="98" t="str">
        <f t="shared" si="16"/>
        <v/>
      </c>
      <c r="AB34" s="101" t="str">
        <f t="shared" si="17"/>
        <v/>
      </c>
    </row>
    <row r="35" spans="1:28">
      <c r="A35" t="str">
        <f t="shared" si="18"/>
        <v/>
      </c>
      <c r="B35" s="113">
        <v>-2</v>
      </c>
      <c r="C35" s="113">
        <v>0</v>
      </c>
      <c r="D35" s="113">
        <f t="shared" si="1"/>
        <v>2</v>
      </c>
      <c r="E35" s="113" t="str">
        <f t="shared" si="2"/>
        <v/>
      </c>
      <c r="F35" s="113" t="str">
        <f t="shared" si="3"/>
        <v/>
      </c>
      <c r="G35" s="97" t="str">
        <f t="shared" si="4"/>
        <v/>
      </c>
      <c r="J35" s="116" t="str">
        <f t="shared" si="5"/>
        <v/>
      </c>
      <c r="K35" s="119" t="str">
        <f t="shared" si="6"/>
        <v/>
      </c>
      <c r="L35" s="98" t="str">
        <f t="shared" si="7"/>
        <v/>
      </c>
      <c r="M35" s="101" t="str">
        <f t="shared" si="8"/>
        <v/>
      </c>
      <c r="O35" s="100" t="str">
        <f t="shared" si="9"/>
        <v/>
      </c>
      <c r="P35" s="119" t="str">
        <f>IF('Temperature in bundle'!$P$4="Current = 1A per pair",2,IF($A35="","",('Temperature in bundle'!$Q$6-('Temperature in bundle'!$Q$6^2-4*(O35+P$7)*'Temperature in bundle'!$Q$7)^0.5)/2/(O35+P$7)))</f>
        <v/>
      </c>
      <c r="Q35" s="98" t="str">
        <f t="shared" si="10"/>
        <v/>
      </c>
      <c r="R35" s="101" t="str">
        <f t="shared" si="11"/>
        <v/>
      </c>
      <c r="T35" s="100" t="str">
        <f t="shared" si="12"/>
        <v/>
      </c>
      <c r="U35" s="119" t="str">
        <f>IF('Temperature in bundle'!$P$4="Current = 1A per pair",2,IF($A35="","",('Temperature in bundle'!$Q$6-('Temperature in bundle'!$Q$6^2-4*(T35+U$7)*'Temperature in bundle'!$Q$7)^0.5)/2/(T35+U$7)))</f>
        <v/>
      </c>
      <c r="V35" s="98" t="str">
        <f t="shared" si="13"/>
        <v/>
      </c>
      <c r="W35" s="101" t="str">
        <f t="shared" si="14"/>
        <v/>
      </c>
      <c r="Y35" s="100" t="str">
        <f t="shared" si="15"/>
        <v/>
      </c>
      <c r="Z35" s="119" t="str">
        <f>IF('Temperature in bundle'!$P$4="Current = 1A per pair",2,IF($A35="","",('Temperature in bundle'!$Q$6-('Temperature in bundle'!$Q$6^2-4*(Y35+Z$7)*'Temperature in bundle'!$Q$7)^0.5)/2/(Y35+Z$7)))</f>
        <v/>
      </c>
      <c r="AA35" s="98" t="str">
        <f t="shared" si="16"/>
        <v/>
      </c>
      <c r="AB35" s="101" t="str">
        <f t="shared" si="17"/>
        <v/>
      </c>
    </row>
    <row r="36" spans="1:28">
      <c r="A36" t="str">
        <f t="shared" si="18"/>
        <v/>
      </c>
      <c r="B36" s="113">
        <v>-1.5</v>
      </c>
      <c r="C36" s="113">
        <f>-SQRT(3)/2</f>
        <v>-0.8660254037844386</v>
      </c>
      <c r="D36" s="113">
        <f t="shared" si="1"/>
        <v>1.7320508075688772</v>
      </c>
      <c r="E36" s="113" t="str">
        <f t="shared" si="2"/>
        <v/>
      </c>
      <c r="F36" s="113" t="str">
        <f t="shared" si="3"/>
        <v/>
      </c>
      <c r="G36" s="97" t="str">
        <f t="shared" si="4"/>
        <v/>
      </c>
      <c r="J36" s="116" t="str">
        <f t="shared" si="5"/>
        <v/>
      </c>
      <c r="K36" s="119" t="str">
        <f t="shared" si="6"/>
        <v/>
      </c>
      <c r="L36" s="98" t="str">
        <f t="shared" si="7"/>
        <v/>
      </c>
      <c r="M36" s="101" t="str">
        <f t="shared" si="8"/>
        <v/>
      </c>
      <c r="O36" s="100" t="str">
        <f t="shared" si="9"/>
        <v/>
      </c>
      <c r="P36" s="119" t="str">
        <f>IF('Temperature in bundle'!$P$4="Current = 1A per pair",2,IF($A36="","",('Temperature in bundle'!$Q$6-('Temperature in bundle'!$Q$6^2-4*(O36+P$7)*'Temperature in bundle'!$Q$7)^0.5)/2/(O36+P$7)))</f>
        <v/>
      </c>
      <c r="Q36" s="98" t="str">
        <f t="shared" si="10"/>
        <v/>
      </c>
      <c r="R36" s="101" t="str">
        <f t="shared" si="11"/>
        <v/>
      </c>
      <c r="T36" s="100" t="str">
        <f t="shared" si="12"/>
        <v/>
      </c>
      <c r="U36" s="119" t="str">
        <f>IF('Temperature in bundle'!$P$4="Current = 1A per pair",2,IF($A36="","",('Temperature in bundle'!$Q$6-('Temperature in bundle'!$Q$6^2-4*(T36+U$7)*'Temperature in bundle'!$Q$7)^0.5)/2/(T36+U$7)))</f>
        <v/>
      </c>
      <c r="V36" s="98" t="str">
        <f t="shared" si="13"/>
        <v/>
      </c>
      <c r="W36" s="101" t="str">
        <f t="shared" si="14"/>
        <v/>
      </c>
      <c r="Y36" s="100" t="str">
        <f t="shared" si="15"/>
        <v/>
      </c>
      <c r="Z36" s="119" t="str">
        <f>IF('Temperature in bundle'!$P$4="Current = 1A per pair",2,IF($A36="","",('Temperature in bundle'!$Q$6-('Temperature in bundle'!$Q$6^2-4*(Y36+Z$7)*'Temperature in bundle'!$Q$7)^0.5)/2/(Y36+Z$7)))</f>
        <v/>
      </c>
      <c r="AA36" s="98" t="str">
        <f t="shared" si="16"/>
        <v/>
      </c>
      <c r="AB36" s="101" t="str">
        <f t="shared" si="17"/>
        <v/>
      </c>
    </row>
    <row r="37" spans="1:28">
      <c r="A37" t="str">
        <f t="shared" si="18"/>
        <v/>
      </c>
      <c r="B37" s="113">
        <v>-1</v>
      </c>
      <c r="C37" s="113">
        <f>-SQRT(3)</f>
        <v>-1.7320508075688772</v>
      </c>
      <c r="D37" s="113">
        <f t="shared" si="1"/>
        <v>2</v>
      </c>
      <c r="E37" s="113" t="str">
        <f t="shared" si="2"/>
        <v/>
      </c>
      <c r="F37" s="113" t="str">
        <f t="shared" si="3"/>
        <v/>
      </c>
      <c r="G37" s="97" t="str">
        <f t="shared" si="4"/>
        <v/>
      </c>
      <c r="J37" s="116" t="str">
        <f t="shared" si="5"/>
        <v/>
      </c>
      <c r="K37" s="119" t="str">
        <f t="shared" si="6"/>
        <v/>
      </c>
      <c r="L37" s="98" t="str">
        <f t="shared" si="7"/>
        <v/>
      </c>
      <c r="M37" s="101" t="str">
        <f t="shared" si="8"/>
        <v/>
      </c>
      <c r="O37" s="100" t="str">
        <f t="shared" si="9"/>
        <v/>
      </c>
      <c r="P37" s="119" t="str">
        <f>IF('Temperature in bundle'!$P$4="Current = 1A per pair",2,IF($A37="","",('Temperature in bundle'!$Q$6-('Temperature in bundle'!$Q$6^2-4*(O37+P$7)*'Temperature in bundle'!$Q$7)^0.5)/2/(O37+P$7)))</f>
        <v/>
      </c>
      <c r="Q37" s="98" t="str">
        <f t="shared" si="10"/>
        <v/>
      </c>
      <c r="R37" s="101" t="str">
        <f t="shared" si="11"/>
        <v/>
      </c>
      <c r="T37" s="100" t="str">
        <f t="shared" si="12"/>
        <v/>
      </c>
      <c r="U37" s="119" t="str">
        <f>IF('Temperature in bundle'!$P$4="Current = 1A per pair",2,IF($A37="","",('Temperature in bundle'!$Q$6-('Temperature in bundle'!$Q$6^2-4*(T37+U$7)*'Temperature in bundle'!$Q$7)^0.5)/2/(T37+U$7)))</f>
        <v/>
      </c>
      <c r="V37" s="98" t="str">
        <f t="shared" si="13"/>
        <v/>
      </c>
      <c r="W37" s="101" t="str">
        <f t="shared" si="14"/>
        <v/>
      </c>
      <c r="Y37" s="100" t="str">
        <f t="shared" si="15"/>
        <v/>
      </c>
      <c r="Z37" s="119" t="str">
        <f>IF('Temperature in bundle'!$P$4="Current = 1A per pair",2,IF($A37="","",('Temperature in bundle'!$Q$6-('Temperature in bundle'!$Q$6^2-4*(Y37+Z$7)*'Temperature in bundle'!$Q$7)^0.5)/2/(Y37+Z$7)))</f>
        <v/>
      </c>
      <c r="AA37" s="98" t="str">
        <f t="shared" si="16"/>
        <v/>
      </c>
      <c r="AB37" s="101" t="str">
        <f t="shared" si="17"/>
        <v/>
      </c>
    </row>
    <row r="38" spans="1:28">
      <c r="A38" t="str">
        <f t="shared" si="18"/>
        <v/>
      </c>
      <c r="B38" s="113">
        <v>0</v>
      </c>
      <c r="C38" s="113">
        <f>-SQRT(3)</f>
        <v>-1.7320508075688772</v>
      </c>
      <c r="D38" s="113">
        <f t="shared" si="1"/>
        <v>1.7320508075688772</v>
      </c>
      <c r="E38" s="113" t="str">
        <f t="shared" si="2"/>
        <v/>
      </c>
      <c r="F38" s="113" t="str">
        <f t="shared" si="3"/>
        <v/>
      </c>
      <c r="G38" s="97" t="str">
        <f t="shared" si="4"/>
        <v/>
      </c>
      <c r="J38" s="116" t="str">
        <f t="shared" si="5"/>
        <v/>
      </c>
      <c r="K38" s="119" t="str">
        <f t="shared" si="6"/>
        <v/>
      </c>
      <c r="L38" s="98" t="str">
        <f t="shared" si="7"/>
        <v/>
      </c>
      <c r="M38" s="101" t="str">
        <f t="shared" si="8"/>
        <v/>
      </c>
      <c r="O38" s="100" t="str">
        <f t="shared" si="9"/>
        <v/>
      </c>
      <c r="P38" s="119" t="str">
        <f>IF('Temperature in bundle'!$P$4="Current = 1A per pair",2,IF($A38="","",('Temperature in bundle'!$Q$6-('Temperature in bundle'!$Q$6^2-4*(O38+P$7)*'Temperature in bundle'!$Q$7)^0.5)/2/(O38+P$7)))</f>
        <v/>
      </c>
      <c r="Q38" s="98" t="str">
        <f t="shared" si="10"/>
        <v/>
      </c>
      <c r="R38" s="101" t="str">
        <f t="shared" si="11"/>
        <v/>
      </c>
      <c r="T38" s="100" t="str">
        <f t="shared" si="12"/>
        <v/>
      </c>
      <c r="U38" s="119" t="str">
        <f>IF('Temperature in bundle'!$P$4="Current = 1A per pair",2,IF($A38="","",('Temperature in bundle'!$Q$6-('Temperature in bundle'!$Q$6^2-4*(T38+U$7)*'Temperature in bundle'!$Q$7)^0.5)/2/(T38+U$7)))</f>
        <v/>
      </c>
      <c r="V38" s="98" t="str">
        <f t="shared" si="13"/>
        <v/>
      </c>
      <c r="W38" s="101" t="str">
        <f t="shared" si="14"/>
        <v/>
      </c>
      <c r="Y38" s="100" t="str">
        <f t="shared" si="15"/>
        <v/>
      </c>
      <c r="Z38" s="119" t="str">
        <f>IF('Temperature in bundle'!$P$4="Current = 1A per pair",2,IF($A38="","",('Temperature in bundle'!$Q$6-('Temperature in bundle'!$Q$6^2-4*(Y38+Z$7)*'Temperature in bundle'!$Q$7)^0.5)/2/(Y38+Z$7)))</f>
        <v/>
      </c>
      <c r="AA38" s="98" t="str">
        <f t="shared" si="16"/>
        <v/>
      </c>
      <c r="AB38" s="101" t="str">
        <f t="shared" si="17"/>
        <v/>
      </c>
    </row>
    <row r="39" spans="1:28">
      <c r="A39" t="str">
        <f t="shared" si="18"/>
        <v/>
      </c>
      <c r="B39" s="113">
        <v>1</v>
      </c>
      <c r="C39" s="113">
        <f>-SQRT(3)</f>
        <v>-1.7320508075688772</v>
      </c>
      <c r="D39" s="113">
        <f t="shared" si="1"/>
        <v>2</v>
      </c>
      <c r="E39" s="113" t="str">
        <f t="shared" si="2"/>
        <v/>
      </c>
      <c r="F39" s="113" t="str">
        <f t="shared" si="3"/>
        <v/>
      </c>
      <c r="G39" s="97" t="str">
        <f t="shared" si="4"/>
        <v/>
      </c>
      <c r="J39" s="116" t="str">
        <f t="shared" si="5"/>
        <v/>
      </c>
      <c r="K39" s="119" t="str">
        <f t="shared" si="6"/>
        <v/>
      </c>
      <c r="L39" s="98" t="str">
        <f t="shared" si="7"/>
        <v/>
      </c>
      <c r="M39" s="101" t="str">
        <f t="shared" si="8"/>
        <v/>
      </c>
      <c r="O39" s="100" t="str">
        <f t="shared" si="9"/>
        <v/>
      </c>
      <c r="P39" s="119" t="str">
        <f>IF('Temperature in bundle'!$P$4="Current = 1A per pair",2,IF($A39="","",('Temperature in bundle'!$Q$6-('Temperature in bundle'!$Q$6^2-4*(O39+P$7)*'Temperature in bundle'!$Q$7)^0.5)/2/(O39+P$7)))</f>
        <v/>
      </c>
      <c r="Q39" s="98" t="str">
        <f t="shared" si="10"/>
        <v/>
      </c>
      <c r="R39" s="101" t="str">
        <f t="shared" si="11"/>
        <v/>
      </c>
      <c r="T39" s="100" t="str">
        <f t="shared" si="12"/>
        <v/>
      </c>
      <c r="U39" s="119" t="str">
        <f>IF('Temperature in bundle'!$P$4="Current = 1A per pair",2,IF($A39="","",('Temperature in bundle'!$Q$6-('Temperature in bundle'!$Q$6^2-4*(T39+U$7)*'Temperature in bundle'!$Q$7)^0.5)/2/(T39+U$7)))</f>
        <v/>
      </c>
      <c r="V39" s="98" t="str">
        <f t="shared" si="13"/>
        <v/>
      </c>
      <c r="W39" s="101" t="str">
        <f t="shared" si="14"/>
        <v/>
      </c>
      <c r="Y39" s="100" t="str">
        <f t="shared" si="15"/>
        <v/>
      </c>
      <c r="Z39" s="119" t="str">
        <f>IF('Temperature in bundle'!$P$4="Current = 1A per pair",2,IF($A39="","",('Temperature in bundle'!$Q$6-('Temperature in bundle'!$Q$6^2-4*(Y39+Z$7)*'Temperature in bundle'!$Q$7)^0.5)/2/(Y39+Z$7)))</f>
        <v/>
      </c>
      <c r="AA39" s="98" t="str">
        <f t="shared" si="16"/>
        <v/>
      </c>
      <c r="AB39" s="101" t="str">
        <f t="shared" si="17"/>
        <v/>
      </c>
    </row>
    <row r="40" spans="1:28">
      <c r="A40" t="str">
        <f t="shared" si="18"/>
        <v/>
      </c>
      <c r="B40" s="113">
        <v>2</v>
      </c>
      <c r="C40" s="113">
        <f>-SQRT(3)</f>
        <v>-1.7320508075688772</v>
      </c>
      <c r="D40" s="113">
        <f t="shared" si="1"/>
        <v>2.6457513110645907</v>
      </c>
      <c r="E40" s="113" t="str">
        <f t="shared" si="2"/>
        <v/>
      </c>
      <c r="F40" s="113" t="str">
        <f t="shared" si="3"/>
        <v/>
      </c>
      <c r="G40" s="97" t="str">
        <f t="shared" si="4"/>
        <v/>
      </c>
      <c r="J40" s="116" t="str">
        <f t="shared" si="5"/>
        <v/>
      </c>
      <c r="K40" s="119" t="str">
        <f t="shared" si="6"/>
        <v/>
      </c>
      <c r="L40" s="98" t="str">
        <f t="shared" si="7"/>
        <v/>
      </c>
      <c r="M40" s="101" t="str">
        <f t="shared" si="8"/>
        <v/>
      </c>
      <c r="O40" s="100" t="str">
        <f t="shared" si="9"/>
        <v/>
      </c>
      <c r="P40" s="119" t="str">
        <f>IF('Temperature in bundle'!$P$4="Current = 1A per pair",2,IF($A40="","",('Temperature in bundle'!$Q$6-('Temperature in bundle'!$Q$6^2-4*(O40+P$7)*'Temperature in bundle'!$Q$7)^0.5)/2/(O40+P$7)))</f>
        <v/>
      </c>
      <c r="Q40" s="98" t="str">
        <f t="shared" si="10"/>
        <v/>
      </c>
      <c r="R40" s="101" t="str">
        <f t="shared" si="11"/>
        <v/>
      </c>
      <c r="T40" s="100" t="str">
        <f t="shared" si="12"/>
        <v/>
      </c>
      <c r="U40" s="119" t="str">
        <f>IF('Temperature in bundle'!$P$4="Current = 1A per pair",2,IF($A40="","",('Temperature in bundle'!$Q$6-('Temperature in bundle'!$Q$6^2-4*(T40+U$7)*'Temperature in bundle'!$Q$7)^0.5)/2/(T40+U$7)))</f>
        <v/>
      </c>
      <c r="V40" s="98" t="str">
        <f t="shared" si="13"/>
        <v/>
      </c>
      <c r="W40" s="101" t="str">
        <f t="shared" si="14"/>
        <v/>
      </c>
      <c r="Y40" s="100" t="str">
        <f t="shared" si="15"/>
        <v/>
      </c>
      <c r="Z40" s="119" t="str">
        <f>IF('Temperature in bundle'!$P$4="Current = 1A per pair",2,IF($A40="","",('Temperature in bundle'!$Q$6-('Temperature in bundle'!$Q$6^2-4*(Y40+Z$7)*'Temperature in bundle'!$Q$7)^0.5)/2/(Y40+Z$7)))</f>
        <v/>
      </c>
      <c r="AA40" s="98" t="str">
        <f t="shared" si="16"/>
        <v/>
      </c>
      <c r="AB40" s="101" t="str">
        <f t="shared" si="17"/>
        <v/>
      </c>
    </row>
    <row r="41" spans="1:28">
      <c r="A41" t="str">
        <f t="shared" si="18"/>
        <v/>
      </c>
      <c r="B41" s="113">
        <v>2.5</v>
      </c>
      <c r="C41" s="113">
        <f>-SQRT(3)/2</f>
        <v>-0.8660254037844386</v>
      </c>
      <c r="D41" s="113">
        <f t="shared" si="1"/>
        <v>2.6457513110645907</v>
      </c>
      <c r="E41" s="113" t="str">
        <f t="shared" si="2"/>
        <v/>
      </c>
      <c r="F41" s="113" t="str">
        <f t="shared" si="3"/>
        <v/>
      </c>
      <c r="G41" s="97" t="str">
        <f t="shared" si="4"/>
        <v/>
      </c>
      <c r="J41" s="116" t="str">
        <f t="shared" si="5"/>
        <v/>
      </c>
      <c r="K41" s="119" t="str">
        <f t="shared" si="6"/>
        <v/>
      </c>
      <c r="L41" s="98" t="str">
        <f t="shared" si="7"/>
        <v/>
      </c>
      <c r="M41" s="101" t="str">
        <f t="shared" si="8"/>
        <v/>
      </c>
      <c r="O41" s="100" t="str">
        <f t="shared" si="9"/>
        <v/>
      </c>
      <c r="P41" s="119" t="str">
        <f>IF('Temperature in bundle'!$P$4="Current = 1A per pair",2,IF($A41="","",('Temperature in bundle'!$Q$6-('Temperature in bundle'!$Q$6^2-4*(O41+P$7)*'Temperature in bundle'!$Q$7)^0.5)/2/(O41+P$7)))</f>
        <v/>
      </c>
      <c r="Q41" s="98" t="str">
        <f t="shared" si="10"/>
        <v/>
      </c>
      <c r="R41" s="101" t="str">
        <f t="shared" si="11"/>
        <v/>
      </c>
      <c r="T41" s="100" t="str">
        <f t="shared" si="12"/>
        <v/>
      </c>
      <c r="U41" s="119" t="str">
        <f>IF('Temperature in bundle'!$P$4="Current = 1A per pair",2,IF($A41="","",('Temperature in bundle'!$Q$6-('Temperature in bundle'!$Q$6^2-4*(T41+U$7)*'Temperature in bundle'!$Q$7)^0.5)/2/(T41+U$7)))</f>
        <v/>
      </c>
      <c r="V41" s="98" t="str">
        <f t="shared" si="13"/>
        <v/>
      </c>
      <c r="W41" s="101" t="str">
        <f t="shared" si="14"/>
        <v/>
      </c>
      <c r="Y41" s="100" t="str">
        <f t="shared" si="15"/>
        <v/>
      </c>
      <c r="Z41" s="119" t="str">
        <f>IF('Temperature in bundle'!$P$4="Current = 1A per pair",2,IF($A41="","",('Temperature in bundle'!$Q$6-('Temperature in bundle'!$Q$6^2-4*(Y41+Z$7)*'Temperature in bundle'!$Q$7)^0.5)/2/(Y41+Z$7)))</f>
        <v/>
      </c>
      <c r="AA41" s="98" t="str">
        <f t="shared" si="16"/>
        <v/>
      </c>
      <c r="AB41" s="101" t="str">
        <f t="shared" si="17"/>
        <v/>
      </c>
    </row>
    <row r="42" spans="1:28">
      <c r="A42" t="str">
        <f t="shared" si="18"/>
        <v/>
      </c>
      <c r="B42" s="113">
        <v>3</v>
      </c>
      <c r="C42" s="113">
        <v>0</v>
      </c>
      <c r="D42" s="113">
        <f t="shared" si="1"/>
        <v>3</v>
      </c>
      <c r="E42" s="113" t="str">
        <f t="shared" si="2"/>
        <v/>
      </c>
      <c r="F42" s="113" t="str">
        <f t="shared" si="3"/>
        <v/>
      </c>
      <c r="G42" s="97" t="str">
        <f t="shared" si="4"/>
        <v/>
      </c>
      <c r="J42" s="116" t="str">
        <f t="shared" si="5"/>
        <v/>
      </c>
      <c r="K42" s="119" t="str">
        <f t="shared" si="6"/>
        <v/>
      </c>
      <c r="L42" s="98" t="str">
        <f t="shared" si="7"/>
        <v/>
      </c>
      <c r="M42" s="101" t="str">
        <f t="shared" si="8"/>
        <v/>
      </c>
      <c r="O42" s="100" t="str">
        <f t="shared" si="9"/>
        <v/>
      </c>
      <c r="P42" s="119" t="str">
        <f>IF('Temperature in bundle'!$P$4="Current = 1A per pair",2,IF($A42="","",('Temperature in bundle'!$Q$6-('Temperature in bundle'!$Q$6^2-4*(O42+P$7)*'Temperature in bundle'!$Q$7)^0.5)/2/(O42+P$7)))</f>
        <v/>
      </c>
      <c r="Q42" s="98" t="str">
        <f t="shared" si="10"/>
        <v/>
      </c>
      <c r="R42" s="101" t="str">
        <f t="shared" si="11"/>
        <v/>
      </c>
      <c r="T42" s="100" t="str">
        <f t="shared" si="12"/>
        <v/>
      </c>
      <c r="U42" s="119" t="str">
        <f>IF('Temperature in bundle'!$P$4="Current = 1A per pair",2,IF($A42="","",('Temperature in bundle'!$Q$6-('Temperature in bundle'!$Q$6^2-4*(T42+U$7)*'Temperature in bundle'!$Q$7)^0.5)/2/(T42+U$7)))</f>
        <v/>
      </c>
      <c r="V42" s="98" t="str">
        <f t="shared" si="13"/>
        <v/>
      </c>
      <c r="W42" s="101" t="str">
        <f t="shared" si="14"/>
        <v/>
      </c>
      <c r="Y42" s="100" t="str">
        <f t="shared" si="15"/>
        <v/>
      </c>
      <c r="Z42" s="119" t="str">
        <f>IF('Temperature in bundle'!$P$4="Current = 1A per pair",2,IF($A42="","",('Temperature in bundle'!$Q$6-('Temperature in bundle'!$Q$6^2-4*(Y42+Z$7)*'Temperature in bundle'!$Q$7)^0.5)/2/(Y42+Z$7)))</f>
        <v/>
      </c>
      <c r="AA42" s="98" t="str">
        <f t="shared" si="16"/>
        <v/>
      </c>
      <c r="AB42" s="101" t="str">
        <f t="shared" si="17"/>
        <v/>
      </c>
    </row>
    <row r="43" spans="1:28">
      <c r="A43" t="str">
        <f t="shared" si="18"/>
        <v/>
      </c>
      <c r="B43" s="113">
        <v>2.5</v>
      </c>
      <c r="C43" s="113">
        <f>SQRT(3)/2</f>
        <v>0.8660254037844386</v>
      </c>
      <c r="D43" s="113">
        <f t="shared" si="1"/>
        <v>2.6457513110645907</v>
      </c>
      <c r="E43" s="113" t="str">
        <f t="shared" si="2"/>
        <v/>
      </c>
      <c r="F43" s="113" t="str">
        <f t="shared" si="3"/>
        <v/>
      </c>
      <c r="G43" s="97" t="str">
        <f t="shared" si="4"/>
        <v/>
      </c>
      <c r="J43" s="116" t="str">
        <f t="shared" si="5"/>
        <v/>
      </c>
      <c r="K43" s="119" t="str">
        <f t="shared" si="6"/>
        <v/>
      </c>
      <c r="L43" s="98" t="str">
        <f t="shared" si="7"/>
        <v/>
      </c>
      <c r="M43" s="101" t="str">
        <f t="shared" si="8"/>
        <v/>
      </c>
      <c r="O43" s="100" t="str">
        <f t="shared" si="9"/>
        <v/>
      </c>
      <c r="P43" s="119" t="str">
        <f>IF('Temperature in bundle'!$P$4="Current = 1A per pair",2,IF($A43="","",('Temperature in bundle'!$Q$6-('Temperature in bundle'!$Q$6^2-4*(O43+P$7)*'Temperature in bundle'!$Q$7)^0.5)/2/(O43+P$7)))</f>
        <v/>
      </c>
      <c r="Q43" s="98" t="str">
        <f t="shared" si="10"/>
        <v/>
      </c>
      <c r="R43" s="101" t="str">
        <f t="shared" si="11"/>
        <v/>
      </c>
      <c r="T43" s="100" t="str">
        <f t="shared" si="12"/>
        <v/>
      </c>
      <c r="U43" s="119" t="str">
        <f>IF('Temperature in bundle'!$P$4="Current = 1A per pair",2,IF($A43="","",('Temperature in bundle'!$Q$6-('Temperature in bundle'!$Q$6^2-4*(T43+U$7)*'Temperature in bundle'!$Q$7)^0.5)/2/(T43+U$7)))</f>
        <v/>
      </c>
      <c r="V43" s="98" t="str">
        <f t="shared" si="13"/>
        <v/>
      </c>
      <c r="W43" s="101" t="str">
        <f t="shared" si="14"/>
        <v/>
      </c>
      <c r="Y43" s="100" t="str">
        <f t="shared" si="15"/>
        <v/>
      </c>
      <c r="Z43" s="119" t="str">
        <f>IF('Temperature in bundle'!$P$4="Current = 1A per pair",2,IF($A43="","",('Temperature in bundle'!$Q$6-('Temperature in bundle'!$Q$6^2-4*(Y43+Z$7)*'Temperature in bundle'!$Q$7)^0.5)/2/(Y43+Z$7)))</f>
        <v/>
      </c>
      <c r="AA43" s="98" t="str">
        <f t="shared" si="16"/>
        <v/>
      </c>
      <c r="AB43" s="101" t="str">
        <f t="shared" si="17"/>
        <v/>
      </c>
    </row>
    <row r="44" spans="1:28">
      <c r="A44" t="str">
        <f t="shared" si="18"/>
        <v/>
      </c>
      <c r="B44" s="113">
        <v>2</v>
      </c>
      <c r="C44" s="113">
        <f>SQRT(3)</f>
        <v>1.7320508075688772</v>
      </c>
      <c r="D44" s="113">
        <f t="shared" si="1"/>
        <v>2.6457513110645907</v>
      </c>
      <c r="E44" s="113" t="str">
        <f t="shared" si="2"/>
        <v/>
      </c>
      <c r="F44" s="113" t="str">
        <f t="shared" si="3"/>
        <v/>
      </c>
      <c r="G44" s="97" t="str">
        <f t="shared" si="4"/>
        <v/>
      </c>
      <c r="J44" s="116" t="str">
        <f t="shared" si="5"/>
        <v/>
      </c>
      <c r="K44" s="119" t="str">
        <f t="shared" si="6"/>
        <v/>
      </c>
      <c r="L44" s="98" t="str">
        <f t="shared" si="7"/>
        <v/>
      </c>
      <c r="M44" s="101" t="str">
        <f t="shared" si="8"/>
        <v/>
      </c>
      <c r="O44" s="100" t="str">
        <f t="shared" si="9"/>
        <v/>
      </c>
      <c r="P44" s="119" t="str">
        <f>IF('Temperature in bundle'!$P$4="Current = 1A per pair",2,IF($A44="","",('Temperature in bundle'!$Q$6-('Temperature in bundle'!$Q$6^2-4*(O44+P$7)*'Temperature in bundle'!$Q$7)^0.5)/2/(O44+P$7)))</f>
        <v/>
      </c>
      <c r="Q44" s="98" t="str">
        <f t="shared" si="10"/>
        <v/>
      </c>
      <c r="R44" s="101" t="str">
        <f t="shared" si="11"/>
        <v/>
      </c>
      <c r="T44" s="100" t="str">
        <f t="shared" si="12"/>
        <v/>
      </c>
      <c r="U44" s="119" t="str">
        <f>IF('Temperature in bundle'!$P$4="Current = 1A per pair",2,IF($A44="","",('Temperature in bundle'!$Q$6-('Temperature in bundle'!$Q$6^2-4*(T44+U$7)*'Temperature in bundle'!$Q$7)^0.5)/2/(T44+U$7)))</f>
        <v/>
      </c>
      <c r="V44" s="98" t="str">
        <f t="shared" si="13"/>
        <v/>
      </c>
      <c r="W44" s="101" t="str">
        <f t="shared" si="14"/>
        <v/>
      </c>
      <c r="Y44" s="100" t="str">
        <f t="shared" si="15"/>
        <v/>
      </c>
      <c r="Z44" s="119" t="str">
        <f>IF('Temperature in bundle'!$P$4="Current = 1A per pair",2,IF($A44="","",('Temperature in bundle'!$Q$6-('Temperature in bundle'!$Q$6^2-4*(Y44+Z$7)*'Temperature in bundle'!$Q$7)^0.5)/2/(Y44+Z$7)))</f>
        <v/>
      </c>
      <c r="AA44" s="98" t="str">
        <f t="shared" si="16"/>
        <v/>
      </c>
      <c r="AB44" s="101" t="str">
        <f t="shared" si="17"/>
        <v/>
      </c>
    </row>
    <row r="45" spans="1:28">
      <c r="P45" s="144"/>
    </row>
    <row r="46" spans="1:28">
      <c r="A46" t="s">
        <v>300</v>
      </c>
      <c r="B46" s="67" t="s">
        <v>261</v>
      </c>
      <c r="C46" s="67" t="s">
        <v>262</v>
      </c>
      <c r="D46" s="67" t="s">
        <v>263</v>
      </c>
      <c r="E46" s="99"/>
      <c r="F46" s="99"/>
      <c r="G46" s="99"/>
      <c r="P46" s="144"/>
    </row>
    <row r="47" spans="1:28">
      <c r="A47">
        <v>1</v>
      </c>
      <c r="B47" s="97">
        <v>0</v>
      </c>
      <c r="C47" s="97">
        <v>0</v>
      </c>
      <c r="D47" s="97">
        <f>(B47^2+C47^2)^0.5</f>
        <v>0</v>
      </c>
      <c r="E47" s="97">
        <f>IF($A47="","",B47)</f>
        <v>0</v>
      </c>
      <c r="F47" s="97">
        <f>IF($A47="","",C47)</f>
        <v>0</v>
      </c>
      <c r="G47" s="97"/>
      <c r="J47" s="116">
        <f>IF($A47="","",$G$10)</f>
        <v>0.22284244248680671</v>
      </c>
      <c r="K47" s="119">
        <f t="shared" ref="K47" si="19">IF($A47="","",$C$12)</f>
        <v>0.51453105392986931</v>
      </c>
      <c r="L47" s="98">
        <f t="shared" ref="L47" si="20">IF($A47="","",J47*K47^2)</f>
        <v>5.8995799693645302E-2</v>
      </c>
      <c r="M47" s="101">
        <f>IF($A47="","",M$3+M$4*(1-3.63*$G47^2/$G$15))</f>
        <v>0.16168469090255844</v>
      </c>
      <c r="O47" s="100">
        <f>IF($A47="","",$J47*(1+0.0039*M47))</f>
        <v>0.22298296031139717</v>
      </c>
      <c r="P47" s="119">
        <f>IF('Temperature in bundle'!$P$4="Current = 1A per pair",2,IF($A47="","",('Temperature in bundle'!$Q$6-('Temperature in bundle'!$Q$6^2-4*(O47+R$7)*'Temperature in bundle'!$Q$7)^0.5)/2/(O47+R$7)))</f>
        <v>0.51455026405087156</v>
      </c>
      <c r="Q47" s="98">
        <f t="shared" ref="Q47" si="21">IF($A47="","",O47*P47^2)</f>
        <v>5.9037408792770397E-2</v>
      </c>
      <c r="R47" s="101">
        <f>IF($A47="","",R$3+R$4*(1-3.63*$G47^2/$G$15))</f>
        <v>0.16179872536544751</v>
      </c>
      <c r="T47" s="100">
        <f>IF($A47="","",$J47*(1+0.0039*R47))</f>
        <v>0.22298305941709828</v>
      </c>
      <c r="U47" s="119">
        <f>('Temperature in bundle'!$Q$6-('Temperature in bundle'!$Q$6^2-4*(T47+W$7)*'Temperature in bundle'!$Q$7)^0.5)/2/(T47+W$7)</f>
        <v>0.51455029301000699</v>
      </c>
      <c r="V47" s="98">
        <f t="shared" ref="V47" si="22">IF($A47="","",T47*U47^2)</f>
        <v>5.9037441677501933E-2</v>
      </c>
      <c r="W47" s="101">
        <f>IF($A47="","",W$3+W$4*(1-3.63*$G47^2/$G$15))</f>
        <v>0.16179881548978992</v>
      </c>
      <c r="Y47" s="100">
        <f>IF($A47="","",$J47*(1+0.0039*W47))</f>
        <v>0.22298305949542405</v>
      </c>
      <c r="Z47" s="119">
        <f>('Temperature in bundle'!$Q$6-('Temperature in bundle'!$Q$6^2-4*(Y47+AB$7)*'Temperature in bundle'!$Q$7)^0.5)/2/(Y47+AB$7)</f>
        <v>0.51455029305625732</v>
      </c>
      <c r="AA47" s="98">
        <f t="shared" ref="AA47" si="23">IF($A47="","",Y47*Z47^2)</f>
        <v>5.9037441708852778E-2</v>
      </c>
      <c r="AB47" s="101">
        <f>IF($A47="","",AB$3+AB$4*(1-3.63*$G47^2/$G$15))</f>
        <v>0.16179881557571049</v>
      </c>
    </row>
    <row r="48" spans="1:28">
      <c r="P48" s="144"/>
    </row>
    <row r="49" spans="1:28">
      <c r="P49" s="144"/>
    </row>
    <row r="50" spans="1:28">
      <c r="A50" t="s">
        <v>260</v>
      </c>
      <c r="B50" s="67" t="s">
        <v>261</v>
      </c>
      <c r="C50" s="67" t="s">
        <v>262</v>
      </c>
      <c r="D50" s="67" t="s">
        <v>263</v>
      </c>
      <c r="E50" s="99">
        <f>AVERAGE(E51:E249)</f>
        <v>0.5</v>
      </c>
      <c r="F50" s="99">
        <f>AVERAGE(F51:F249)</f>
        <v>0</v>
      </c>
      <c r="P50" s="144"/>
    </row>
    <row r="51" spans="1:28">
      <c r="A51">
        <v>1</v>
      </c>
      <c r="B51" s="113">
        <v>0</v>
      </c>
      <c r="C51" s="113">
        <v>0</v>
      </c>
      <c r="D51" s="113">
        <f>(B51^2+C51^2)^0.5</f>
        <v>0</v>
      </c>
      <c r="E51" s="113">
        <f>IF($A51="","",B51)</f>
        <v>0</v>
      </c>
      <c r="F51" s="113">
        <f>IF($A51="","",C51)</f>
        <v>0</v>
      </c>
      <c r="G51" s="113">
        <f>IF(A51="","",((E$50-E51)^2+(F$50-F51)^2)^0.5)</f>
        <v>0.5</v>
      </c>
      <c r="J51" s="116">
        <f>IF($A51="","",$E$10)</f>
        <v>2.0986931609674486</v>
      </c>
      <c r="K51" s="119">
        <f t="shared" ref="K51:K74" si="24">IF($A51="","",$C$12)</f>
        <v>0.51453105392986931</v>
      </c>
      <c r="L51" s="98">
        <f t="shared" ref="L51:L74" si="25">IF($A51="","",J51*K51^2)</f>
        <v>0.55561265601452581</v>
      </c>
      <c r="M51" s="101">
        <f>IF($A51="","",L$3+L$4*(1-3.63*$G51^2/$E$15))</f>
        <v>0.38833866920277449</v>
      </c>
      <c r="O51" s="100">
        <f t="shared" ref="O51:O74" si="26">IF($A51="","",$J51*(1+0.0039*M51))</f>
        <v>2.1018716754333093</v>
      </c>
      <c r="P51" s="119">
        <f>IF('Temperature in bundle'!$P$4="Current = 1A per pair",2,IF($A51="","",('Temperature in bundle'!$Q$6-('Temperature in bundle'!$Q$6^2-4*(O51+Q$7)*'Temperature in bundle'!$Q$7)^0.5)/2/(O51+Q$7)))</f>
        <v>0.51455250074376235</v>
      </c>
      <c r="Q51" s="98">
        <f t="shared" ref="Q51:Q74" si="27">IF($A51="","",O51*P51^2)</f>
        <v>0.55650053243653275</v>
      </c>
      <c r="R51" s="101">
        <f>IF($A51="","",Q$3+Q$4*(1-3.63*$G51^2/$E$15))</f>
        <v>0.38888211418379709</v>
      </c>
      <c r="T51" s="100">
        <f t="shared" ref="T51:T74" si="28">IF($A51="","",$J51*(1+0.0039*R51))</f>
        <v>2.1018761234779433</v>
      </c>
      <c r="U51" s="119">
        <f>IF('Temperature in bundle'!$P$4="Current = 1A per pair",2,IF($A51="","",('Temperature in bundle'!$Q$6-('Temperature in bundle'!$Q$6^2-4*(T51+V$7)*'Temperature in bundle'!$Q$7)^0.5)/2/(T51+V$7)))</f>
        <v>0.51455253283348668</v>
      </c>
      <c r="V51" s="98">
        <f t="shared" ref="V51:V74" si="29">IF($A51="","",T51*U51^2)</f>
        <v>0.55650177953156976</v>
      </c>
      <c r="W51" s="101">
        <f>IF($A51="","",V$3+V$4*(1-3.63*$G51^2/$E$15))</f>
        <v>0.38888287787946108</v>
      </c>
      <c r="Y51" s="100">
        <f t="shared" ref="Y51:Y74" si="30">IF($A51="","",$J51*(1+0.0039*W51))</f>
        <v>2.1018761297287183</v>
      </c>
      <c r="Z51" s="119">
        <f>IF('Temperature in bundle'!$P$4="Current = 1A per pair",2,IF($A51="","",('Temperature in bundle'!$Q$6-('Temperature in bundle'!$Q$6^2-4*(Y51+AA$7)*'Temperature in bundle'!$Q$7)^0.5)/2/(Y51+AA$7)))</f>
        <v>0.51455253288413649</v>
      </c>
      <c r="AA51" s="98">
        <f t="shared" ref="AA51:AA74" si="31">IF($A51="","",Y51*Z51^2)</f>
        <v>0.55650178129611017</v>
      </c>
      <c r="AB51" s="101">
        <f>IF($A51="","",AA$3+AA$4*(1-3.63*$G51^2/$E$15))</f>
        <v>0.38888287896106605</v>
      </c>
    </row>
    <row r="52" spans="1:28">
      <c r="A52">
        <f>IF(A51&lt;E$15,A51+1,"")</f>
        <v>2</v>
      </c>
      <c r="B52" s="113">
        <v>1</v>
      </c>
      <c r="C52" s="113">
        <v>0</v>
      </c>
      <c r="D52" s="113">
        <f>(B52^2+C52^2)^0.5</f>
        <v>1</v>
      </c>
      <c r="E52" s="113">
        <f t="shared" ref="E52:F74" si="32">IF($A52="","",B52)</f>
        <v>1</v>
      </c>
      <c r="F52" s="113">
        <f t="shared" si="32"/>
        <v>0</v>
      </c>
      <c r="G52" s="113">
        <f>IF(A52="","",((E$50-E52)^2+(F$50-F52)^2)^0.5)</f>
        <v>0.5</v>
      </c>
      <c r="J52" s="116">
        <f t="shared" ref="J52:J74" si="33">IF($A52="","",$E$10)</f>
        <v>2.0986931609674486</v>
      </c>
      <c r="K52" s="119">
        <f t="shared" si="24"/>
        <v>0.51453105392986931</v>
      </c>
      <c r="L52" s="98">
        <f t="shared" si="25"/>
        <v>0.55561265601452581</v>
      </c>
      <c r="M52" s="101">
        <f t="shared" ref="M52:M74" si="34">IF($A52="","",L$3+L$4*(1-3.63*$G52^2/$E$15))</f>
        <v>0.38833866920277449</v>
      </c>
      <c r="O52" s="100">
        <f t="shared" si="26"/>
        <v>2.1018716754333093</v>
      </c>
      <c r="P52" s="119">
        <f>IF('Temperature in bundle'!$P$4="Current = 1A per pair",2,IF($A52="","",('Temperature in bundle'!$Q$6-('Temperature in bundle'!$Q$6^2-4*(O52+Q$7)*'Temperature in bundle'!$Q$7)^0.5)/2/(O52+Q$7)))</f>
        <v>0.51455250074376235</v>
      </c>
      <c r="Q52" s="98">
        <f t="shared" si="27"/>
        <v>0.55650053243653275</v>
      </c>
      <c r="R52" s="101">
        <f t="shared" ref="R52:R74" si="35">IF($A52="","",Q$3+Q$4*(1-3.63*$G52^2/$E$15))</f>
        <v>0.38888211418379709</v>
      </c>
      <c r="T52" s="100">
        <f t="shared" si="28"/>
        <v>2.1018761234779433</v>
      </c>
      <c r="U52" s="119">
        <f>IF('Temperature in bundle'!$P$4="Current = 1A per pair",2,IF($A52="","",('Temperature in bundle'!$Q$6-('Temperature in bundle'!$Q$6^2-4*(T52+V$7)*'Temperature in bundle'!$Q$7)^0.5)/2/(T52+V$7)))</f>
        <v>0.51455253283348668</v>
      </c>
      <c r="V52" s="98">
        <f t="shared" si="29"/>
        <v>0.55650177953156976</v>
      </c>
      <c r="W52" s="101">
        <f t="shared" ref="W52:W74" si="36">IF($A52="","",V$3+V$4*(1-3.63*$G52^2/$E$15))</f>
        <v>0.38888287787946108</v>
      </c>
      <c r="Y52" s="100">
        <f t="shared" si="30"/>
        <v>2.1018761297287183</v>
      </c>
      <c r="Z52" s="119">
        <f>IF('Temperature in bundle'!$P$4="Current = 1A per pair",2,IF($A52="","",('Temperature in bundle'!$Q$6-('Temperature in bundle'!$Q$6^2-4*(Y52+AA$7)*'Temperature in bundle'!$Q$7)^0.5)/2/(Y52+AA$7)))</f>
        <v>0.51455253288413649</v>
      </c>
      <c r="AA52" s="98">
        <f t="shared" si="31"/>
        <v>0.55650178129611017</v>
      </c>
      <c r="AB52" s="101">
        <f t="shared" ref="AB52:AB74" si="37">IF($A52="","",AA$3+AA$4*(1-3.63*$G52^2/$E$15))</f>
        <v>0.38888287896106605</v>
      </c>
    </row>
    <row r="53" spans="1:28">
      <c r="A53">
        <f t="shared" ref="A53:A74" si="38">IF(A52&lt;E$15,A52+1,"")</f>
        <v>3</v>
      </c>
      <c r="B53" s="113">
        <v>0.5</v>
      </c>
      <c r="C53" s="113">
        <f>SQRT(3)/2</f>
        <v>0.8660254037844386</v>
      </c>
      <c r="D53" s="113">
        <f>(B53^2+C53^2)^0.5</f>
        <v>1</v>
      </c>
      <c r="E53" s="113">
        <f t="shared" si="32"/>
        <v>0.5</v>
      </c>
      <c r="F53" s="113">
        <f t="shared" si="32"/>
        <v>0.8660254037844386</v>
      </c>
      <c r="G53" s="113">
        <f t="shared" ref="G53:G74" si="39">IF(A53="","",((E$50-E53)^2+(F$50-F53)^2)^0.5)</f>
        <v>0.8660254037844386</v>
      </c>
      <c r="J53" s="116">
        <f t="shared" si="33"/>
        <v>2.0986931609674486</v>
      </c>
      <c r="K53" s="119">
        <f t="shared" si="24"/>
        <v>0.51453105392986931</v>
      </c>
      <c r="L53" s="98">
        <f t="shared" si="25"/>
        <v>0.55561265601452581</v>
      </c>
      <c r="M53" s="101">
        <f t="shared" si="34"/>
        <v>0.3803352011816129</v>
      </c>
      <c r="O53" s="100">
        <f t="shared" si="26"/>
        <v>2.1018061678212692</v>
      </c>
      <c r="P53" s="119">
        <f>IF('Temperature in bundle'!$P$4="Current = 1A per pair",2,IF($A53="","",('Temperature in bundle'!$Q$6-('Temperature in bundle'!$Q$6^2-4*(O53+Q$7)*'Temperature in bundle'!$Q$7)^0.5)/2/(O53+Q$7)))</f>
        <v>0.51455213306550696</v>
      </c>
      <c r="Q53" s="98">
        <f t="shared" si="27"/>
        <v>0.55648239308090786</v>
      </c>
      <c r="R53" s="101">
        <f t="shared" si="35"/>
        <v>0.38086744603019485</v>
      </c>
      <c r="T53" s="100">
        <f t="shared" si="28"/>
        <v>2.1018105241939016</v>
      </c>
      <c r="U53" s="119">
        <f>IF('Temperature in bundle'!$P$4="Current = 1A per pair",2,IF($A53="","",('Temperature in bundle'!$Q$6-('Temperature in bundle'!$Q$6^2-4*(T53+V$7)*'Temperature in bundle'!$Q$7)^0.5)/2/(T53+V$7)))</f>
        <v>0.51455216464060738</v>
      </c>
      <c r="V53" s="98">
        <f t="shared" si="29"/>
        <v>0.5564836147874872</v>
      </c>
      <c r="W53" s="101">
        <f t="shared" si="36"/>
        <v>0.38086819398646871</v>
      </c>
      <c r="Y53" s="100">
        <f t="shared" si="30"/>
        <v>2.1018105303158512</v>
      </c>
      <c r="Z53" s="119">
        <f>IF('Temperature in bundle'!$P$4="Current = 1A per pair",2,IF($A53="","",('Temperature in bundle'!$Q$6-('Temperature in bundle'!$Q$6^2-4*(Y53+AA$7)*'Temperature in bundle'!$Q$7)^0.5)/2/(Y53+AA$7)))</f>
        <v>0.51455216469053344</v>
      </c>
      <c r="AA53" s="98">
        <f t="shared" si="31"/>
        <v>0.55648361651634781</v>
      </c>
      <c r="AB53" s="101">
        <f t="shared" si="37"/>
        <v>0.38086819504578234</v>
      </c>
    </row>
    <row r="54" spans="1:28">
      <c r="A54">
        <f t="shared" si="38"/>
        <v>4</v>
      </c>
      <c r="B54" s="113">
        <v>-0.5</v>
      </c>
      <c r="C54" s="113">
        <f>SQRT(3)/2</f>
        <v>0.8660254037844386</v>
      </c>
      <c r="D54" s="113">
        <f t="shared" ref="D54:D74" si="40">(B54^2+C54^2)^0.5</f>
        <v>1</v>
      </c>
      <c r="E54" s="113">
        <f t="shared" si="32"/>
        <v>-0.5</v>
      </c>
      <c r="F54" s="113">
        <f t="shared" si="32"/>
        <v>0.8660254037844386</v>
      </c>
      <c r="G54" s="113">
        <f t="shared" si="39"/>
        <v>1.3228756555322954</v>
      </c>
      <c r="J54" s="116">
        <f t="shared" si="33"/>
        <v>2.0986931609674486</v>
      </c>
      <c r="K54" s="119">
        <f t="shared" si="24"/>
        <v>0.51453105392986931</v>
      </c>
      <c r="L54" s="98">
        <f t="shared" si="25"/>
        <v>0.55561265601452581</v>
      </c>
      <c r="M54" s="101">
        <f t="shared" si="34"/>
        <v>0.36432826513928962</v>
      </c>
      <c r="O54" s="100">
        <f t="shared" si="26"/>
        <v>2.1016751525971888</v>
      </c>
      <c r="P54" s="119">
        <f>IF('Temperature in bundle'!$P$4="Current = 1A per pair",2,IF($A54="","",('Temperature in bundle'!$Q$6-('Temperature in bundle'!$Q$6^2-4*(O54+Q$7)*'Temperature in bundle'!$Q$7)^0.5)/2/(O54+Q$7)))</f>
        <v>0.51455139771219871</v>
      </c>
      <c r="Q54" s="98">
        <f t="shared" si="27"/>
        <v>0.55644611452700998</v>
      </c>
      <c r="R54" s="101">
        <f t="shared" si="35"/>
        <v>0.36483810972299041</v>
      </c>
      <c r="T54" s="100">
        <f t="shared" si="28"/>
        <v>2.1016793256258186</v>
      </c>
      <c r="U54" s="119">
        <f>IF('Temperature in bundle'!$P$4="Current = 1A per pair",2,IF($A54="","",('Temperature in bundle'!$Q$6-('Temperature in bundle'!$Q$6^2-4*(T54+V$7)*'Temperature in bundle'!$Q$7)^0.5)/2/(T54+V$7)))</f>
        <v>0.51455142825805755</v>
      </c>
      <c r="V54" s="98">
        <f t="shared" si="29"/>
        <v>0.55644728545710864</v>
      </c>
      <c r="W54" s="101">
        <f t="shared" si="36"/>
        <v>0.36483882620048397</v>
      </c>
      <c r="Y54" s="100">
        <f t="shared" si="30"/>
        <v>2.1016793314901174</v>
      </c>
      <c r="Z54" s="119">
        <f>IF('Temperature in bundle'!$P$4="Current = 1A per pair",2,IF($A54="","",('Temperature in bundle'!$Q$6-('Temperature in bundle'!$Q$6^2-4*(Y54+AA$7)*'Temperature in bundle'!$Q$7)^0.5)/2/(Y54+AA$7)))</f>
        <v>0.51455142830653577</v>
      </c>
      <c r="AA54" s="98">
        <f t="shared" si="31"/>
        <v>0.55644728711460978</v>
      </c>
      <c r="AB54" s="101">
        <f t="shared" si="37"/>
        <v>0.36483882721521488</v>
      </c>
    </row>
    <row r="55" spans="1:28">
      <c r="A55">
        <f t="shared" si="38"/>
        <v>5</v>
      </c>
      <c r="B55" s="113">
        <v>-1</v>
      </c>
      <c r="C55" s="113">
        <v>0</v>
      </c>
      <c r="D55" s="113">
        <f t="shared" si="40"/>
        <v>1</v>
      </c>
      <c r="E55" s="113">
        <f t="shared" si="32"/>
        <v>-1</v>
      </c>
      <c r="F55" s="113">
        <f t="shared" si="32"/>
        <v>0</v>
      </c>
      <c r="G55" s="113">
        <f t="shared" si="39"/>
        <v>1.5</v>
      </c>
      <c r="J55" s="116">
        <f t="shared" si="33"/>
        <v>2.0986931609674486</v>
      </c>
      <c r="K55" s="119">
        <f t="shared" si="24"/>
        <v>0.51453105392986931</v>
      </c>
      <c r="L55" s="98">
        <f t="shared" si="25"/>
        <v>0.55561265601452581</v>
      </c>
      <c r="M55" s="101">
        <f t="shared" si="34"/>
        <v>0.35632479711812798</v>
      </c>
      <c r="O55" s="100">
        <f t="shared" si="26"/>
        <v>2.1016096449851491</v>
      </c>
      <c r="P55" s="119">
        <f>IF('Temperature in bundle'!$P$4="Current = 1A per pair",2,IF($A55="","",('Temperature in bundle'!$Q$6-('Temperature in bundle'!$Q$6^2-4*(O55+Q$7)*'Temperature in bundle'!$Q$7)^0.5)/2/(O55+Q$7)))</f>
        <v>0.51455103003714431</v>
      </c>
      <c r="Q55" s="98">
        <f t="shared" si="27"/>
        <v>0.55642797532873312</v>
      </c>
      <c r="R55" s="101">
        <f t="shared" si="35"/>
        <v>0.35682344156938817</v>
      </c>
      <c r="T55" s="100">
        <f t="shared" si="28"/>
        <v>2.1016137263417773</v>
      </c>
      <c r="U55" s="119">
        <f>IF('Temperature in bundle'!$P$4="Current = 1A per pair",2,IF($A55="","",('Temperature in bundle'!$Q$6-('Temperature in bundle'!$Q$6^2-4*(T55+V$7)*'Temperature in bundle'!$Q$7)^0.5)/2/(T55+V$7)))</f>
        <v>0.51455106006838713</v>
      </c>
      <c r="V55" s="98">
        <f t="shared" si="29"/>
        <v>0.55642912087081231</v>
      </c>
      <c r="W55" s="101">
        <f t="shared" si="36"/>
        <v>0.3568241423074916</v>
      </c>
      <c r="Y55" s="100">
        <f t="shared" si="30"/>
        <v>2.1016137320772508</v>
      </c>
      <c r="Z55" s="119">
        <f>IF('Temperature in bundle'!$P$4="Current = 1A per pair",2,IF($A55="","",('Temperature in bundle'!$Q$6-('Temperature in bundle'!$Q$6^2-4*(Y55+AA$7)*'Temperature in bundle'!$Q$7)^0.5)/2/(Y55+AA$7)))</f>
        <v>0.51455106011614127</v>
      </c>
      <c r="AA55" s="98">
        <f t="shared" si="31"/>
        <v>0.55642912249263377</v>
      </c>
      <c r="AB55" s="101">
        <f t="shared" si="37"/>
        <v>0.35682414329993117</v>
      </c>
    </row>
    <row r="56" spans="1:28">
      <c r="A56">
        <f t="shared" si="38"/>
        <v>6</v>
      </c>
      <c r="B56" s="113">
        <v>-0.5</v>
      </c>
      <c r="C56" s="113">
        <f>-SQRT(3)/2</f>
        <v>-0.8660254037844386</v>
      </c>
      <c r="D56" s="113">
        <f t="shared" si="40"/>
        <v>1</v>
      </c>
      <c r="E56" s="113">
        <f t="shared" si="32"/>
        <v>-0.5</v>
      </c>
      <c r="F56" s="113">
        <f t="shared" si="32"/>
        <v>-0.8660254037844386</v>
      </c>
      <c r="G56" s="113">
        <f t="shared" si="39"/>
        <v>1.3228756555322954</v>
      </c>
      <c r="J56" s="116">
        <f t="shared" si="33"/>
        <v>2.0986931609674486</v>
      </c>
      <c r="K56" s="119">
        <f t="shared" si="24"/>
        <v>0.51453105392986931</v>
      </c>
      <c r="L56" s="98">
        <f t="shared" si="25"/>
        <v>0.55561265601452581</v>
      </c>
      <c r="M56" s="101">
        <f t="shared" si="34"/>
        <v>0.36432826513928962</v>
      </c>
      <c r="O56" s="100">
        <f t="shared" si="26"/>
        <v>2.1016751525971888</v>
      </c>
      <c r="P56" s="119">
        <f>IF('Temperature in bundle'!$P$4="Current = 1A per pair",2,IF($A56="","",('Temperature in bundle'!$Q$6-('Temperature in bundle'!$Q$6^2-4*(O56+Q$7)*'Temperature in bundle'!$Q$7)^0.5)/2/(O56+Q$7)))</f>
        <v>0.51455139771219871</v>
      </c>
      <c r="Q56" s="98">
        <f t="shared" si="27"/>
        <v>0.55644611452700998</v>
      </c>
      <c r="R56" s="101">
        <f t="shared" si="35"/>
        <v>0.36483810972299041</v>
      </c>
      <c r="T56" s="100">
        <f t="shared" si="28"/>
        <v>2.1016793256258186</v>
      </c>
      <c r="U56" s="119">
        <f>IF('Temperature in bundle'!$P$4="Current = 1A per pair",2,IF($A56="","",('Temperature in bundle'!$Q$6-('Temperature in bundle'!$Q$6^2-4*(T56+V$7)*'Temperature in bundle'!$Q$7)^0.5)/2/(T56+V$7)))</f>
        <v>0.51455142825805755</v>
      </c>
      <c r="V56" s="98">
        <f t="shared" si="29"/>
        <v>0.55644728545710864</v>
      </c>
      <c r="W56" s="101">
        <f t="shared" si="36"/>
        <v>0.36483882620048397</v>
      </c>
      <c r="Y56" s="100">
        <f t="shared" si="30"/>
        <v>2.1016793314901174</v>
      </c>
      <c r="Z56" s="119">
        <f>IF('Temperature in bundle'!$P$4="Current = 1A per pair",2,IF($A56="","",('Temperature in bundle'!$Q$6-('Temperature in bundle'!$Q$6^2-4*(Y56+AA$7)*'Temperature in bundle'!$Q$7)^0.5)/2/(Y56+AA$7)))</f>
        <v>0.51455142830653577</v>
      </c>
      <c r="AA56" s="98">
        <f t="shared" si="31"/>
        <v>0.55644728711460978</v>
      </c>
      <c r="AB56" s="101">
        <f t="shared" si="37"/>
        <v>0.36483882721521488</v>
      </c>
    </row>
    <row r="57" spans="1:28">
      <c r="A57">
        <f t="shared" si="38"/>
        <v>7</v>
      </c>
      <c r="B57" s="113">
        <v>0.5</v>
      </c>
      <c r="C57" s="113">
        <f>-SQRT(3)/2</f>
        <v>-0.8660254037844386</v>
      </c>
      <c r="D57" s="113">
        <f t="shared" si="40"/>
        <v>1</v>
      </c>
      <c r="E57" s="113">
        <f t="shared" si="32"/>
        <v>0.5</v>
      </c>
      <c r="F57" s="113">
        <f t="shared" si="32"/>
        <v>-0.8660254037844386</v>
      </c>
      <c r="G57" s="113">
        <f t="shared" si="39"/>
        <v>0.8660254037844386</v>
      </c>
      <c r="J57" s="116">
        <f t="shared" si="33"/>
        <v>2.0986931609674486</v>
      </c>
      <c r="K57" s="119">
        <f t="shared" si="24"/>
        <v>0.51453105392986931</v>
      </c>
      <c r="L57" s="98">
        <f t="shared" si="25"/>
        <v>0.55561265601452581</v>
      </c>
      <c r="M57" s="101">
        <f t="shared" si="34"/>
        <v>0.3803352011816129</v>
      </c>
      <c r="O57" s="100">
        <f t="shared" si="26"/>
        <v>2.1018061678212692</v>
      </c>
      <c r="P57" s="119">
        <f>IF('Temperature in bundle'!$P$4="Current = 1A per pair",2,IF($A57="","",('Temperature in bundle'!$Q$6-('Temperature in bundle'!$Q$6^2-4*(O57+Q$7)*'Temperature in bundle'!$Q$7)^0.5)/2/(O57+Q$7)))</f>
        <v>0.51455213306550696</v>
      </c>
      <c r="Q57" s="98">
        <f t="shared" si="27"/>
        <v>0.55648239308090786</v>
      </c>
      <c r="R57" s="101">
        <f t="shared" si="35"/>
        <v>0.38086744603019485</v>
      </c>
      <c r="T57" s="100">
        <f t="shared" si="28"/>
        <v>2.1018105241939016</v>
      </c>
      <c r="U57" s="119">
        <f>IF('Temperature in bundle'!$P$4="Current = 1A per pair",2,IF($A57="","",('Temperature in bundle'!$Q$6-('Temperature in bundle'!$Q$6^2-4*(T57+V$7)*'Temperature in bundle'!$Q$7)^0.5)/2/(T57+V$7)))</f>
        <v>0.51455216464060738</v>
      </c>
      <c r="V57" s="98">
        <f t="shared" si="29"/>
        <v>0.5564836147874872</v>
      </c>
      <c r="W57" s="101">
        <f t="shared" si="36"/>
        <v>0.38086819398646871</v>
      </c>
      <c r="Y57" s="100">
        <f t="shared" si="30"/>
        <v>2.1018105303158512</v>
      </c>
      <c r="Z57" s="119">
        <f>IF('Temperature in bundle'!$P$4="Current = 1A per pair",2,IF($A57="","",('Temperature in bundle'!$Q$6-('Temperature in bundle'!$Q$6^2-4*(Y57+AA$7)*'Temperature in bundle'!$Q$7)^0.5)/2/(Y57+AA$7)))</f>
        <v>0.51455216469053344</v>
      </c>
      <c r="AA57" s="98">
        <f t="shared" si="31"/>
        <v>0.55648361651634781</v>
      </c>
      <c r="AB57" s="101">
        <f t="shared" si="37"/>
        <v>0.38086819504578234</v>
      </c>
    </row>
    <row r="58" spans="1:28">
      <c r="A58">
        <f t="shared" si="38"/>
        <v>8</v>
      </c>
      <c r="B58" s="113">
        <v>1.5</v>
      </c>
      <c r="C58" s="113">
        <f>-SQRT(3)/2</f>
        <v>-0.8660254037844386</v>
      </c>
      <c r="D58" s="113">
        <f t="shared" si="40"/>
        <v>1.7320508075688772</v>
      </c>
      <c r="E58" s="113">
        <f t="shared" si="32"/>
        <v>1.5</v>
      </c>
      <c r="F58" s="113">
        <f t="shared" si="32"/>
        <v>-0.8660254037844386</v>
      </c>
      <c r="G58" s="113">
        <f t="shared" si="39"/>
        <v>1.3228756555322954</v>
      </c>
      <c r="J58" s="116">
        <f t="shared" si="33"/>
        <v>2.0986931609674486</v>
      </c>
      <c r="K58" s="119">
        <f t="shared" si="24"/>
        <v>0.51453105392986931</v>
      </c>
      <c r="L58" s="98">
        <f t="shared" si="25"/>
        <v>0.55561265601452581</v>
      </c>
      <c r="M58" s="101">
        <f t="shared" si="34"/>
        <v>0.36432826513928962</v>
      </c>
      <c r="O58" s="100">
        <f t="shared" si="26"/>
        <v>2.1016751525971888</v>
      </c>
      <c r="P58" s="119">
        <f>IF('Temperature in bundle'!$P$4="Current = 1A per pair",2,IF($A58="","",('Temperature in bundle'!$Q$6-('Temperature in bundle'!$Q$6^2-4*(O58+Q$7)*'Temperature in bundle'!$Q$7)^0.5)/2/(O58+Q$7)))</f>
        <v>0.51455139771219871</v>
      </c>
      <c r="Q58" s="98">
        <f t="shared" si="27"/>
        <v>0.55644611452700998</v>
      </c>
      <c r="R58" s="101">
        <f t="shared" si="35"/>
        <v>0.36483810972299041</v>
      </c>
      <c r="T58" s="100">
        <f t="shared" si="28"/>
        <v>2.1016793256258186</v>
      </c>
      <c r="U58" s="119">
        <f>IF('Temperature in bundle'!$P$4="Current = 1A per pair",2,IF($A58="","",('Temperature in bundle'!$Q$6-('Temperature in bundle'!$Q$6^2-4*(T58+V$7)*'Temperature in bundle'!$Q$7)^0.5)/2/(T58+V$7)))</f>
        <v>0.51455142825805755</v>
      </c>
      <c r="V58" s="98">
        <f t="shared" si="29"/>
        <v>0.55644728545710864</v>
      </c>
      <c r="W58" s="101">
        <f t="shared" si="36"/>
        <v>0.36483882620048397</v>
      </c>
      <c r="Y58" s="100">
        <f t="shared" si="30"/>
        <v>2.1016793314901174</v>
      </c>
      <c r="Z58" s="119">
        <f>IF('Temperature in bundle'!$P$4="Current = 1A per pair",2,IF($A58="","",('Temperature in bundle'!$Q$6-('Temperature in bundle'!$Q$6^2-4*(Y58+AA$7)*'Temperature in bundle'!$Q$7)^0.5)/2/(Y58+AA$7)))</f>
        <v>0.51455142830653577</v>
      </c>
      <c r="AA58" s="98">
        <f t="shared" si="31"/>
        <v>0.55644728711460978</v>
      </c>
      <c r="AB58" s="101">
        <f t="shared" si="37"/>
        <v>0.36483882721521488</v>
      </c>
    </row>
    <row r="59" spans="1:28">
      <c r="A59">
        <f t="shared" si="38"/>
        <v>9</v>
      </c>
      <c r="B59" s="113">
        <v>2</v>
      </c>
      <c r="C59" s="113">
        <v>0</v>
      </c>
      <c r="D59" s="113">
        <f>(B59^2+C59^2)^0.5</f>
        <v>2</v>
      </c>
      <c r="E59" s="113">
        <f>IF($A59="","",B59)</f>
        <v>2</v>
      </c>
      <c r="F59" s="113">
        <f>IF($A59="","",C59)</f>
        <v>0</v>
      </c>
      <c r="G59" s="113">
        <f t="shared" si="39"/>
        <v>1.5</v>
      </c>
      <c r="J59" s="116">
        <f t="shared" si="33"/>
        <v>2.0986931609674486</v>
      </c>
      <c r="K59" s="119">
        <f t="shared" si="24"/>
        <v>0.51453105392986931</v>
      </c>
      <c r="L59" s="98">
        <f t="shared" si="25"/>
        <v>0.55561265601452581</v>
      </c>
      <c r="M59" s="101">
        <f t="shared" si="34"/>
        <v>0.35632479711812798</v>
      </c>
      <c r="O59" s="100">
        <f t="shared" si="26"/>
        <v>2.1016096449851491</v>
      </c>
      <c r="P59" s="119">
        <f>IF('Temperature in bundle'!$P$4="Current = 1A per pair",2,IF($A59="","",('Temperature in bundle'!$Q$6-('Temperature in bundle'!$Q$6^2-4*(O59+Q$7)*'Temperature in bundle'!$Q$7)^0.5)/2/(O59+Q$7)))</f>
        <v>0.51455103003714431</v>
      </c>
      <c r="Q59" s="98">
        <f t="shared" si="27"/>
        <v>0.55642797532873312</v>
      </c>
      <c r="R59" s="101">
        <f t="shared" si="35"/>
        <v>0.35682344156938817</v>
      </c>
      <c r="T59" s="100">
        <f t="shared" si="28"/>
        <v>2.1016137263417773</v>
      </c>
      <c r="U59" s="119">
        <f>IF('Temperature in bundle'!$P$4="Current = 1A per pair",2,IF($A59="","",('Temperature in bundle'!$Q$6-('Temperature in bundle'!$Q$6^2-4*(T59+V$7)*'Temperature in bundle'!$Q$7)^0.5)/2/(T59+V$7)))</f>
        <v>0.51455106006838713</v>
      </c>
      <c r="V59" s="98">
        <f t="shared" si="29"/>
        <v>0.55642912087081231</v>
      </c>
      <c r="W59" s="101">
        <f t="shared" si="36"/>
        <v>0.3568241423074916</v>
      </c>
      <c r="Y59" s="100">
        <f t="shared" si="30"/>
        <v>2.1016137320772508</v>
      </c>
      <c r="Z59" s="119">
        <f>IF('Temperature in bundle'!$P$4="Current = 1A per pair",2,IF($A59="","",('Temperature in bundle'!$Q$6-('Temperature in bundle'!$Q$6^2-4*(Y59+AA$7)*'Temperature in bundle'!$Q$7)^0.5)/2/(Y59+AA$7)))</f>
        <v>0.51455106011614127</v>
      </c>
      <c r="AA59" s="98">
        <f t="shared" si="31"/>
        <v>0.55642912249263377</v>
      </c>
      <c r="AB59" s="101">
        <f t="shared" si="37"/>
        <v>0.35682414329993117</v>
      </c>
    </row>
    <row r="60" spans="1:28">
      <c r="A60">
        <f t="shared" si="38"/>
        <v>10</v>
      </c>
      <c r="B60" s="113">
        <v>1.5</v>
      </c>
      <c r="C60" s="113">
        <f>SQRT(3)/2</f>
        <v>0.8660254037844386</v>
      </c>
      <c r="D60" s="113">
        <f t="shared" si="40"/>
        <v>1.7320508075688772</v>
      </c>
      <c r="E60" s="113">
        <f t="shared" si="32"/>
        <v>1.5</v>
      </c>
      <c r="F60" s="113">
        <f t="shared" si="32"/>
        <v>0.8660254037844386</v>
      </c>
      <c r="G60" s="113">
        <f t="shared" si="39"/>
        <v>1.3228756555322954</v>
      </c>
      <c r="J60" s="116">
        <f t="shared" si="33"/>
        <v>2.0986931609674486</v>
      </c>
      <c r="K60" s="119">
        <f t="shared" si="24"/>
        <v>0.51453105392986931</v>
      </c>
      <c r="L60" s="98">
        <f t="shared" si="25"/>
        <v>0.55561265601452581</v>
      </c>
      <c r="M60" s="101">
        <f t="shared" si="34"/>
        <v>0.36432826513928962</v>
      </c>
      <c r="O60" s="100">
        <f t="shared" si="26"/>
        <v>2.1016751525971888</v>
      </c>
      <c r="P60" s="119">
        <f>IF('Temperature in bundle'!$P$4="Current = 1A per pair",2,IF($A60="","",('Temperature in bundle'!$Q$6-('Temperature in bundle'!$Q$6^2-4*(O60+Q$7)*'Temperature in bundle'!$Q$7)^0.5)/2/(O60+Q$7)))</f>
        <v>0.51455139771219871</v>
      </c>
      <c r="Q60" s="98">
        <f t="shared" si="27"/>
        <v>0.55644611452700998</v>
      </c>
      <c r="R60" s="101">
        <f t="shared" si="35"/>
        <v>0.36483810972299041</v>
      </c>
      <c r="T60" s="100">
        <f t="shared" si="28"/>
        <v>2.1016793256258186</v>
      </c>
      <c r="U60" s="119">
        <f>IF('Temperature in bundle'!$P$4="Current = 1A per pair",2,IF($A60="","",('Temperature in bundle'!$Q$6-('Temperature in bundle'!$Q$6^2-4*(T60+V$7)*'Temperature in bundle'!$Q$7)^0.5)/2/(T60+V$7)))</f>
        <v>0.51455142825805755</v>
      </c>
      <c r="V60" s="98">
        <f t="shared" si="29"/>
        <v>0.55644728545710864</v>
      </c>
      <c r="W60" s="101">
        <f t="shared" si="36"/>
        <v>0.36483882620048397</v>
      </c>
      <c r="Y60" s="100">
        <f t="shared" si="30"/>
        <v>2.1016793314901174</v>
      </c>
      <c r="Z60" s="119">
        <f>IF('Temperature in bundle'!$P$4="Current = 1A per pair",2,IF($A60="","",('Temperature in bundle'!$Q$6-('Temperature in bundle'!$Q$6^2-4*(Y60+AA$7)*'Temperature in bundle'!$Q$7)^0.5)/2/(Y60+AA$7)))</f>
        <v>0.51455142830653577</v>
      </c>
      <c r="AA60" s="98">
        <f t="shared" si="31"/>
        <v>0.55644728711460978</v>
      </c>
      <c r="AB60" s="101">
        <f t="shared" si="37"/>
        <v>0.36483882721521488</v>
      </c>
    </row>
    <row r="61" spans="1:28">
      <c r="A61">
        <f t="shared" si="38"/>
        <v>11</v>
      </c>
      <c r="B61" s="113">
        <v>1</v>
      </c>
      <c r="C61" s="113">
        <f>SQRT(3)</f>
        <v>1.7320508075688772</v>
      </c>
      <c r="D61" s="113">
        <f t="shared" si="40"/>
        <v>2</v>
      </c>
      <c r="E61" s="113">
        <f t="shared" si="32"/>
        <v>1</v>
      </c>
      <c r="F61" s="113">
        <f t="shared" si="32"/>
        <v>1.7320508075688772</v>
      </c>
      <c r="G61" s="113">
        <f t="shared" si="39"/>
        <v>1.8027756377319946</v>
      </c>
      <c r="J61" s="116">
        <f t="shared" si="33"/>
        <v>2.0986931609674486</v>
      </c>
      <c r="K61" s="119">
        <f t="shared" si="24"/>
        <v>0.51453105392986931</v>
      </c>
      <c r="L61" s="98">
        <f t="shared" si="25"/>
        <v>0.55561265601452581</v>
      </c>
      <c r="M61" s="101">
        <f t="shared" si="34"/>
        <v>0.34031786107580475</v>
      </c>
      <c r="O61" s="100">
        <f t="shared" si="26"/>
        <v>2.1014786297610684</v>
      </c>
      <c r="P61" s="119">
        <f>IF('Temperature in bundle'!$P$4="Current = 1A per pair",2,IF($A61="","",('Temperature in bundle'!$Q$6-('Temperature in bundle'!$Q$6^2-4*(O61+Q$7)*'Temperature in bundle'!$Q$7)^0.5)/2/(O61+Q$7)))</f>
        <v>0.51455029469023372</v>
      </c>
      <c r="Q61" s="98">
        <f t="shared" si="27"/>
        <v>0.55639169708951886</v>
      </c>
      <c r="R61" s="101">
        <f t="shared" si="35"/>
        <v>0.34079410526218379</v>
      </c>
      <c r="T61" s="100">
        <f t="shared" si="28"/>
        <v>2.1014825277736944</v>
      </c>
      <c r="U61" s="119">
        <f>IF('Temperature in bundle'!$P$4="Current = 1A per pair",2,IF($A61="","",('Temperature in bundle'!$Q$6-('Temperature in bundle'!$Q$6^2-4*(T61+V$7)*'Temperature in bundle'!$Q$7)^0.5)/2/(T61+V$7)))</f>
        <v>0.51455032369225417</v>
      </c>
      <c r="V61" s="98">
        <f t="shared" si="29"/>
        <v>0.55639279185600188</v>
      </c>
      <c r="W61" s="101">
        <f t="shared" si="36"/>
        <v>0.34079477452150686</v>
      </c>
      <c r="Y61" s="100">
        <f t="shared" si="30"/>
        <v>2.1014825332515175</v>
      </c>
      <c r="Z61" s="119">
        <f>IF('Temperature in bundle'!$P$4="Current = 1A per pair",2,IF($A61="","",('Temperature in bundle'!$Q$6-('Temperature in bundle'!$Q$6^2-4*(Y61+AA$7)*'Temperature in bundle'!$Q$7)^0.5)/2/(Y61+AA$7)))</f>
        <v>0.51455032373856269</v>
      </c>
      <c r="AA61" s="98">
        <f t="shared" si="31"/>
        <v>0.55639279340646985</v>
      </c>
      <c r="AB61" s="101">
        <f t="shared" si="37"/>
        <v>0.34079477546936376</v>
      </c>
    </row>
    <row r="62" spans="1:28">
      <c r="A62">
        <f t="shared" si="38"/>
        <v>12</v>
      </c>
      <c r="B62" s="113">
        <v>0</v>
      </c>
      <c r="C62" s="113">
        <f>SQRT(3)</f>
        <v>1.7320508075688772</v>
      </c>
      <c r="D62" s="113">
        <f t="shared" si="40"/>
        <v>1.7320508075688772</v>
      </c>
      <c r="E62" s="113">
        <f t="shared" si="32"/>
        <v>0</v>
      </c>
      <c r="F62" s="113">
        <f t="shared" si="32"/>
        <v>1.7320508075688772</v>
      </c>
      <c r="G62" s="113">
        <f t="shared" si="39"/>
        <v>1.8027756377319946</v>
      </c>
      <c r="J62" s="116">
        <f t="shared" si="33"/>
        <v>2.0986931609674486</v>
      </c>
      <c r="K62" s="119">
        <f t="shared" si="24"/>
        <v>0.51453105392986931</v>
      </c>
      <c r="L62" s="98">
        <f t="shared" si="25"/>
        <v>0.55561265601452581</v>
      </c>
      <c r="M62" s="101">
        <f t="shared" si="34"/>
        <v>0.34031786107580475</v>
      </c>
      <c r="O62" s="100">
        <f t="shared" si="26"/>
        <v>2.1014786297610684</v>
      </c>
      <c r="P62" s="119">
        <f>IF('Temperature in bundle'!$P$4="Current = 1A per pair",2,IF($A62="","",('Temperature in bundle'!$Q$6-('Temperature in bundle'!$Q$6^2-4*(O62+Q$7)*'Temperature in bundle'!$Q$7)^0.5)/2/(O62+Q$7)))</f>
        <v>0.51455029469023372</v>
      </c>
      <c r="Q62" s="98">
        <f t="shared" si="27"/>
        <v>0.55639169708951886</v>
      </c>
      <c r="R62" s="101">
        <f t="shared" si="35"/>
        <v>0.34079410526218379</v>
      </c>
      <c r="T62" s="100">
        <f t="shared" si="28"/>
        <v>2.1014825277736944</v>
      </c>
      <c r="U62" s="119">
        <f>IF('Temperature in bundle'!$P$4="Current = 1A per pair",2,IF($A62="","",('Temperature in bundle'!$Q$6-('Temperature in bundle'!$Q$6^2-4*(T62+V$7)*'Temperature in bundle'!$Q$7)^0.5)/2/(T62+V$7)))</f>
        <v>0.51455032369225417</v>
      </c>
      <c r="V62" s="98">
        <f t="shared" si="29"/>
        <v>0.55639279185600188</v>
      </c>
      <c r="W62" s="101">
        <f t="shared" si="36"/>
        <v>0.34079477452150686</v>
      </c>
      <c r="Y62" s="100">
        <f t="shared" si="30"/>
        <v>2.1014825332515175</v>
      </c>
      <c r="Z62" s="119">
        <f>IF('Temperature in bundle'!$P$4="Current = 1A per pair",2,IF($A62="","",('Temperature in bundle'!$Q$6-('Temperature in bundle'!$Q$6^2-4*(Y62+AA$7)*'Temperature in bundle'!$Q$7)^0.5)/2/(Y62+AA$7)))</f>
        <v>0.51455032373856269</v>
      </c>
      <c r="AA62" s="98">
        <f t="shared" si="31"/>
        <v>0.55639279340646985</v>
      </c>
      <c r="AB62" s="101">
        <f t="shared" si="37"/>
        <v>0.34079477546936376</v>
      </c>
    </row>
    <row r="63" spans="1:28">
      <c r="A63">
        <f t="shared" si="38"/>
        <v>13</v>
      </c>
      <c r="B63" s="113">
        <v>-1</v>
      </c>
      <c r="C63" s="113">
        <f>SQRT(3)</f>
        <v>1.7320508075688772</v>
      </c>
      <c r="D63" s="113">
        <f t="shared" si="40"/>
        <v>2</v>
      </c>
      <c r="E63" s="113">
        <f t="shared" si="32"/>
        <v>-1</v>
      </c>
      <c r="F63" s="113">
        <f t="shared" si="32"/>
        <v>1.7320508075688772</v>
      </c>
      <c r="G63" s="113">
        <f t="shared" si="39"/>
        <v>2.2912878474779199</v>
      </c>
      <c r="J63" s="116">
        <f t="shared" si="33"/>
        <v>2.0986931609674486</v>
      </c>
      <c r="K63" s="119">
        <f t="shared" si="24"/>
        <v>0.51453105392986931</v>
      </c>
      <c r="L63" s="98">
        <f t="shared" si="25"/>
        <v>0.55561265601452581</v>
      </c>
      <c r="M63" s="101">
        <f t="shared" si="34"/>
        <v>0.30830398899115824</v>
      </c>
      <c r="O63" s="100">
        <f t="shared" si="26"/>
        <v>2.1012165993129082</v>
      </c>
      <c r="P63" s="119">
        <f>IF('Temperature in bundle'!$P$4="Current = 1A per pair",2,IF($A63="","",('Temperature in bundle'!$Q$6-('Temperature in bundle'!$Q$6^2-4*(O63+Q$7)*'Temperature in bundle'!$Q$7)^0.5)/2/(O63+Q$7)))</f>
        <v>0.51454882400921365</v>
      </c>
      <c r="Q63" s="98">
        <f t="shared" si="27"/>
        <v>0.55631914124046034</v>
      </c>
      <c r="R63" s="101">
        <f t="shared" si="35"/>
        <v>0.30873543264777487</v>
      </c>
      <c r="T63" s="100">
        <f t="shared" si="28"/>
        <v>2.1012201306375284</v>
      </c>
      <c r="U63" s="119">
        <f>IF('Temperature in bundle'!$P$4="Current = 1A per pair",2,IF($A63="","",('Temperature in bundle'!$Q$6-('Temperature in bundle'!$Q$6^2-4*(T63+V$7)*'Temperature in bundle'!$Q$7)^0.5)/2/(T63+V$7)))</f>
        <v>0.51454885095282299</v>
      </c>
      <c r="V63" s="98">
        <f t="shared" si="29"/>
        <v>0.5563201344575085</v>
      </c>
      <c r="W63" s="101">
        <f t="shared" si="36"/>
        <v>0.30873603894953738</v>
      </c>
      <c r="Y63" s="100">
        <f t="shared" si="30"/>
        <v>2.1012201356000499</v>
      </c>
      <c r="Z63" s="119">
        <f>IF('Temperature in bundle'!$P$4="Current = 1A per pair",2,IF($A63="","",('Temperature in bundle'!$Q$6-('Temperature in bundle'!$Q$6^2-4*(Y63+AA$7)*'Temperature in bundle'!$Q$7)^0.5)/2/(Y63+AA$7)))</f>
        <v>0.51454885099624059</v>
      </c>
      <c r="AA63" s="98">
        <f t="shared" si="31"/>
        <v>0.55632013586527285</v>
      </c>
      <c r="AB63" s="101">
        <f t="shared" si="37"/>
        <v>0.30873603980822895</v>
      </c>
    </row>
    <row r="64" spans="1:28">
      <c r="A64">
        <f t="shared" si="38"/>
        <v>14</v>
      </c>
      <c r="B64" s="113">
        <v>-1.5</v>
      </c>
      <c r="C64" s="113">
        <f>SQRT(3)/2</f>
        <v>0.8660254037844386</v>
      </c>
      <c r="D64" s="113">
        <f t="shared" si="40"/>
        <v>1.7320508075688772</v>
      </c>
      <c r="E64" s="113">
        <f t="shared" si="32"/>
        <v>-1.5</v>
      </c>
      <c r="F64" s="113">
        <f t="shared" si="32"/>
        <v>0.8660254037844386</v>
      </c>
      <c r="G64" s="113">
        <f t="shared" si="39"/>
        <v>2.179449471770337</v>
      </c>
      <c r="J64" s="116">
        <f t="shared" si="33"/>
        <v>2.0986931609674486</v>
      </c>
      <c r="K64" s="119">
        <f t="shared" si="24"/>
        <v>0.51453105392986931</v>
      </c>
      <c r="L64" s="98">
        <f t="shared" si="25"/>
        <v>0.55561265601452581</v>
      </c>
      <c r="M64" s="101">
        <f t="shared" si="34"/>
        <v>0.31630745701231983</v>
      </c>
      <c r="O64" s="100">
        <f t="shared" si="26"/>
        <v>2.1012821069249479</v>
      </c>
      <c r="P64" s="119">
        <f>IF('Temperature in bundle'!$P$4="Current = 1A per pair",2,IF($A64="","",('Temperature in bundle'!$Q$6-('Temperature in bundle'!$Q$6^2-4*(O64+Q$7)*'Temperature in bundle'!$Q$7)^0.5)/2/(O64+Q$7)))</f>
        <v>0.51454919167786906</v>
      </c>
      <c r="Q64" s="98">
        <f t="shared" si="27"/>
        <v>0.55633728012405548</v>
      </c>
      <c r="R64" s="101">
        <f t="shared" si="35"/>
        <v>0.31675010080137711</v>
      </c>
      <c r="T64" s="100">
        <f t="shared" si="28"/>
        <v>2.1012857299215706</v>
      </c>
      <c r="U64" s="119">
        <f>IF('Temperature in bundle'!$P$4="Current = 1A per pair",2,IF($A64="","",('Temperature in bundle'!$Q$6-('Temperature in bundle'!$Q$6^2-4*(T64+V$7)*'Temperature in bundle'!$Q$7)^0.5)/2/(T64+V$7)))</f>
        <v>0.5145492191360761</v>
      </c>
      <c r="V64" s="98">
        <f t="shared" si="29"/>
        <v>0.55633829872824092</v>
      </c>
      <c r="W64" s="101">
        <f t="shared" si="36"/>
        <v>0.31675072284252975</v>
      </c>
      <c r="Y64" s="100">
        <f t="shared" si="30"/>
        <v>2.101285735012917</v>
      </c>
      <c r="Z64" s="119">
        <f>IF('Temperature in bundle'!$P$4="Current = 1A per pair",2,IF($A64="","",('Temperature in bundle'!$Q$6-('Temperature in bundle'!$Q$6^2-4*(Y64+AA$7)*'Temperature in bundle'!$Q$7)^0.5)/2/(Y64+AA$7)))</f>
        <v>0.51454921918021568</v>
      </c>
      <c r="AA64" s="98">
        <f t="shared" si="31"/>
        <v>0.55633830017167918</v>
      </c>
      <c r="AB64" s="101">
        <f t="shared" si="37"/>
        <v>0.31675072372351259</v>
      </c>
    </row>
    <row r="65" spans="1:28">
      <c r="A65">
        <f t="shared" si="38"/>
        <v>15</v>
      </c>
      <c r="B65" s="113">
        <v>-2</v>
      </c>
      <c r="C65" s="113">
        <v>0</v>
      </c>
      <c r="D65" s="113">
        <f t="shared" si="40"/>
        <v>2</v>
      </c>
      <c r="E65" s="113">
        <f t="shared" si="32"/>
        <v>-2</v>
      </c>
      <c r="F65" s="113">
        <f t="shared" si="32"/>
        <v>0</v>
      </c>
      <c r="G65" s="113">
        <f t="shared" si="39"/>
        <v>2.5</v>
      </c>
      <c r="J65" s="116">
        <f t="shared" si="33"/>
        <v>2.0986931609674486</v>
      </c>
      <c r="K65" s="119">
        <f t="shared" si="24"/>
        <v>0.51453105392986931</v>
      </c>
      <c r="L65" s="98">
        <f t="shared" si="25"/>
        <v>0.55561265601452581</v>
      </c>
      <c r="M65" s="101">
        <f t="shared" si="34"/>
        <v>0.29229705294883496</v>
      </c>
      <c r="O65" s="100">
        <f t="shared" si="26"/>
        <v>2.1010855840888278</v>
      </c>
      <c r="P65" s="119">
        <f>IF('Temperature in bundle'!$P$4="Current = 1A per pair",2,IF($A65="","",('Temperature in bundle'!$Q$6-('Temperature in bundle'!$Q$6^2-4*(O65+Q$7)*'Temperature in bundle'!$Q$7)^0.5)/2/(O65+Q$7)))</f>
        <v>0.51454808867510449</v>
      </c>
      <c r="Q65" s="98">
        <f t="shared" si="27"/>
        <v>0.55628286363061197</v>
      </c>
      <c r="R65" s="101">
        <f t="shared" si="35"/>
        <v>0.29270609634057043</v>
      </c>
      <c r="T65" s="100">
        <f t="shared" si="28"/>
        <v>2.1010889320694459</v>
      </c>
      <c r="U65" s="119">
        <f>IF('Temperature in bundle'!$P$4="Current = 1A per pair",2,IF($A65="","",('Temperature in bundle'!$Q$6-('Temperature in bundle'!$Q$6^2-4*(T65+V$7)*'Temperature in bundle'!$Q$7)^0.5)/2/(T65+V$7)))</f>
        <v>0.51454811458952565</v>
      </c>
      <c r="V65" s="98">
        <f t="shared" si="29"/>
        <v>0.55628380607382344</v>
      </c>
      <c r="W65" s="101">
        <f t="shared" si="36"/>
        <v>0.29270667116355265</v>
      </c>
      <c r="Y65" s="100">
        <f t="shared" si="30"/>
        <v>2.1010889367743166</v>
      </c>
      <c r="Z65" s="119">
        <f>IF('Temperature in bundle'!$P$4="Current = 1A per pair",2,IF($A65="","",('Temperature in bundle'!$Q$6-('Temperature in bundle'!$Q$6^2-4*(Y65+AA$7)*'Temperature in bundle'!$Q$7)^0.5)/2/(Y65+AA$7)))</f>
        <v>0.51454811463149686</v>
      </c>
      <c r="AA65" s="98">
        <f t="shared" si="31"/>
        <v>0.55628380741023487</v>
      </c>
      <c r="AB65" s="101">
        <f t="shared" si="37"/>
        <v>0.29270667197766148</v>
      </c>
    </row>
    <row r="66" spans="1:28">
      <c r="A66">
        <f t="shared" si="38"/>
        <v>16</v>
      </c>
      <c r="B66" s="113">
        <v>-1.5</v>
      </c>
      <c r="C66" s="113">
        <f>-SQRT(3)/2</f>
        <v>-0.8660254037844386</v>
      </c>
      <c r="D66" s="113">
        <f t="shared" si="40"/>
        <v>1.7320508075688772</v>
      </c>
      <c r="E66" s="113">
        <f t="shared" si="32"/>
        <v>-1.5</v>
      </c>
      <c r="F66" s="113">
        <f t="shared" si="32"/>
        <v>-0.8660254037844386</v>
      </c>
      <c r="G66" s="113">
        <f t="shared" si="39"/>
        <v>2.179449471770337</v>
      </c>
      <c r="J66" s="116">
        <f t="shared" si="33"/>
        <v>2.0986931609674486</v>
      </c>
      <c r="K66" s="119">
        <f t="shared" si="24"/>
        <v>0.51453105392986931</v>
      </c>
      <c r="L66" s="98">
        <f t="shared" si="25"/>
        <v>0.55561265601452581</v>
      </c>
      <c r="M66" s="101">
        <f t="shared" si="34"/>
        <v>0.31630745701231983</v>
      </c>
      <c r="O66" s="100">
        <f t="shared" si="26"/>
        <v>2.1012821069249479</v>
      </c>
      <c r="P66" s="119">
        <f>IF('Temperature in bundle'!$P$4="Current = 1A per pair",2,IF($A66="","",('Temperature in bundle'!$Q$6-('Temperature in bundle'!$Q$6^2-4*(O66+Q$7)*'Temperature in bundle'!$Q$7)^0.5)/2/(O66+Q$7)))</f>
        <v>0.51454919167786906</v>
      </c>
      <c r="Q66" s="98">
        <f t="shared" si="27"/>
        <v>0.55633728012405548</v>
      </c>
      <c r="R66" s="101">
        <f t="shared" si="35"/>
        <v>0.31675010080137711</v>
      </c>
      <c r="T66" s="100">
        <f t="shared" si="28"/>
        <v>2.1012857299215706</v>
      </c>
      <c r="U66" s="119">
        <f>IF('Temperature in bundle'!$P$4="Current = 1A per pair",2,IF($A66="","",('Temperature in bundle'!$Q$6-('Temperature in bundle'!$Q$6^2-4*(T66+V$7)*'Temperature in bundle'!$Q$7)^0.5)/2/(T66+V$7)))</f>
        <v>0.5145492191360761</v>
      </c>
      <c r="V66" s="98">
        <f t="shared" si="29"/>
        <v>0.55633829872824092</v>
      </c>
      <c r="W66" s="101">
        <f t="shared" si="36"/>
        <v>0.31675072284252975</v>
      </c>
      <c r="Y66" s="100">
        <f t="shared" si="30"/>
        <v>2.101285735012917</v>
      </c>
      <c r="Z66" s="119">
        <f>IF('Temperature in bundle'!$P$4="Current = 1A per pair",2,IF($A66="","",('Temperature in bundle'!$Q$6-('Temperature in bundle'!$Q$6^2-4*(Y66+AA$7)*'Temperature in bundle'!$Q$7)^0.5)/2/(Y66+AA$7)))</f>
        <v>0.51454921918021568</v>
      </c>
      <c r="AA66" s="98">
        <f t="shared" si="31"/>
        <v>0.55633830017167918</v>
      </c>
      <c r="AB66" s="101">
        <f t="shared" si="37"/>
        <v>0.31675072372351259</v>
      </c>
    </row>
    <row r="67" spans="1:28">
      <c r="A67">
        <f t="shared" si="38"/>
        <v>17</v>
      </c>
      <c r="B67" s="113">
        <v>-1</v>
      </c>
      <c r="C67" s="113">
        <f>-SQRT(3)</f>
        <v>-1.7320508075688772</v>
      </c>
      <c r="D67" s="113">
        <f t="shared" si="40"/>
        <v>2</v>
      </c>
      <c r="E67" s="113">
        <f t="shared" si="32"/>
        <v>-1</v>
      </c>
      <c r="F67" s="113">
        <f t="shared" si="32"/>
        <v>-1.7320508075688772</v>
      </c>
      <c r="G67" s="113">
        <f t="shared" si="39"/>
        <v>2.2912878474779199</v>
      </c>
      <c r="J67" s="116">
        <f t="shared" si="33"/>
        <v>2.0986931609674486</v>
      </c>
      <c r="K67" s="119">
        <f t="shared" si="24"/>
        <v>0.51453105392986931</v>
      </c>
      <c r="L67" s="98">
        <f t="shared" si="25"/>
        <v>0.55561265601452581</v>
      </c>
      <c r="M67" s="101">
        <f t="shared" si="34"/>
        <v>0.30830398899115824</v>
      </c>
      <c r="O67" s="100">
        <f t="shared" si="26"/>
        <v>2.1012165993129082</v>
      </c>
      <c r="P67" s="119">
        <f>IF('Temperature in bundle'!$P$4="Current = 1A per pair",2,IF($A67="","",('Temperature in bundle'!$Q$6-('Temperature in bundle'!$Q$6^2-4*(O67+Q$7)*'Temperature in bundle'!$Q$7)^0.5)/2/(O67+Q$7)))</f>
        <v>0.51454882400921365</v>
      </c>
      <c r="Q67" s="98">
        <f t="shared" si="27"/>
        <v>0.55631914124046034</v>
      </c>
      <c r="R67" s="101">
        <f t="shared" si="35"/>
        <v>0.30873543264777487</v>
      </c>
      <c r="T67" s="100">
        <f t="shared" si="28"/>
        <v>2.1012201306375284</v>
      </c>
      <c r="U67" s="119">
        <f>IF('Temperature in bundle'!$P$4="Current = 1A per pair",2,IF($A67="","",('Temperature in bundle'!$Q$6-('Temperature in bundle'!$Q$6^2-4*(T67+V$7)*'Temperature in bundle'!$Q$7)^0.5)/2/(T67+V$7)))</f>
        <v>0.51454885095282299</v>
      </c>
      <c r="V67" s="98">
        <f t="shared" si="29"/>
        <v>0.5563201344575085</v>
      </c>
      <c r="W67" s="101">
        <f t="shared" si="36"/>
        <v>0.30873603894953738</v>
      </c>
      <c r="Y67" s="100">
        <f t="shared" si="30"/>
        <v>2.1012201356000499</v>
      </c>
      <c r="Z67" s="119">
        <f>IF('Temperature in bundle'!$P$4="Current = 1A per pair",2,IF($A67="","",('Temperature in bundle'!$Q$6-('Temperature in bundle'!$Q$6^2-4*(Y67+AA$7)*'Temperature in bundle'!$Q$7)^0.5)/2/(Y67+AA$7)))</f>
        <v>0.51454885099624059</v>
      </c>
      <c r="AA67" s="98">
        <f t="shared" si="31"/>
        <v>0.55632013586527285</v>
      </c>
      <c r="AB67" s="101">
        <f t="shared" si="37"/>
        <v>0.30873603980822895</v>
      </c>
    </row>
    <row r="68" spans="1:28">
      <c r="A68">
        <f t="shared" si="38"/>
        <v>18</v>
      </c>
      <c r="B68" s="113">
        <v>0</v>
      </c>
      <c r="C68" s="113">
        <f>-SQRT(3)</f>
        <v>-1.7320508075688772</v>
      </c>
      <c r="D68" s="113">
        <f t="shared" si="40"/>
        <v>1.7320508075688772</v>
      </c>
      <c r="E68" s="113">
        <f t="shared" si="32"/>
        <v>0</v>
      </c>
      <c r="F68" s="113">
        <f t="shared" si="32"/>
        <v>-1.7320508075688772</v>
      </c>
      <c r="G68" s="113">
        <f t="shared" si="39"/>
        <v>1.8027756377319946</v>
      </c>
      <c r="J68" s="116">
        <f t="shared" si="33"/>
        <v>2.0986931609674486</v>
      </c>
      <c r="K68" s="119">
        <f t="shared" si="24"/>
        <v>0.51453105392986931</v>
      </c>
      <c r="L68" s="98">
        <f t="shared" si="25"/>
        <v>0.55561265601452581</v>
      </c>
      <c r="M68" s="101">
        <f t="shared" si="34"/>
        <v>0.34031786107580475</v>
      </c>
      <c r="O68" s="100">
        <f t="shared" si="26"/>
        <v>2.1014786297610684</v>
      </c>
      <c r="P68" s="119">
        <f>IF('Temperature in bundle'!$P$4="Current = 1A per pair",2,IF($A68="","",('Temperature in bundle'!$Q$6-('Temperature in bundle'!$Q$6^2-4*(O68+Q$7)*'Temperature in bundle'!$Q$7)^0.5)/2/(O68+Q$7)))</f>
        <v>0.51455029469023372</v>
      </c>
      <c r="Q68" s="98">
        <f t="shared" si="27"/>
        <v>0.55639169708951886</v>
      </c>
      <c r="R68" s="101">
        <f t="shared" si="35"/>
        <v>0.34079410526218379</v>
      </c>
      <c r="T68" s="100">
        <f t="shared" si="28"/>
        <v>2.1014825277736944</v>
      </c>
      <c r="U68" s="119">
        <f>IF('Temperature in bundle'!$P$4="Current = 1A per pair",2,IF($A68="","",('Temperature in bundle'!$Q$6-('Temperature in bundle'!$Q$6^2-4*(T68+V$7)*'Temperature in bundle'!$Q$7)^0.5)/2/(T68+V$7)))</f>
        <v>0.51455032369225417</v>
      </c>
      <c r="V68" s="98">
        <f t="shared" si="29"/>
        <v>0.55639279185600188</v>
      </c>
      <c r="W68" s="101">
        <f t="shared" si="36"/>
        <v>0.34079477452150686</v>
      </c>
      <c r="Y68" s="100">
        <f t="shared" si="30"/>
        <v>2.1014825332515175</v>
      </c>
      <c r="Z68" s="119">
        <f>IF('Temperature in bundle'!$P$4="Current = 1A per pair",2,IF($A68="","",('Temperature in bundle'!$Q$6-('Temperature in bundle'!$Q$6^2-4*(Y68+AA$7)*'Temperature in bundle'!$Q$7)^0.5)/2/(Y68+AA$7)))</f>
        <v>0.51455032373856269</v>
      </c>
      <c r="AA68" s="98">
        <f t="shared" si="31"/>
        <v>0.55639279340646985</v>
      </c>
      <c r="AB68" s="101">
        <f t="shared" si="37"/>
        <v>0.34079477546936376</v>
      </c>
    </row>
    <row r="69" spans="1:28">
      <c r="A69">
        <f t="shared" si="38"/>
        <v>19</v>
      </c>
      <c r="B69" s="113">
        <v>1</v>
      </c>
      <c r="C69" s="113">
        <f>-SQRT(3)</f>
        <v>-1.7320508075688772</v>
      </c>
      <c r="D69" s="113">
        <f t="shared" si="40"/>
        <v>2</v>
      </c>
      <c r="E69" s="113">
        <f t="shared" si="32"/>
        <v>1</v>
      </c>
      <c r="F69" s="113">
        <f t="shared" si="32"/>
        <v>-1.7320508075688772</v>
      </c>
      <c r="G69" s="113">
        <f t="shared" si="39"/>
        <v>1.8027756377319946</v>
      </c>
      <c r="J69" s="116">
        <f t="shared" si="33"/>
        <v>2.0986931609674486</v>
      </c>
      <c r="K69" s="119">
        <f t="shared" si="24"/>
        <v>0.51453105392986931</v>
      </c>
      <c r="L69" s="98">
        <f t="shared" si="25"/>
        <v>0.55561265601452581</v>
      </c>
      <c r="M69" s="101">
        <f t="shared" si="34"/>
        <v>0.34031786107580475</v>
      </c>
      <c r="O69" s="100">
        <f t="shared" si="26"/>
        <v>2.1014786297610684</v>
      </c>
      <c r="P69" s="119">
        <f>IF('Temperature in bundle'!$P$4="Current = 1A per pair",2,IF($A69="","",('Temperature in bundle'!$Q$6-('Temperature in bundle'!$Q$6^2-4*(O69+Q$7)*'Temperature in bundle'!$Q$7)^0.5)/2/(O69+Q$7)))</f>
        <v>0.51455029469023372</v>
      </c>
      <c r="Q69" s="98">
        <f t="shared" si="27"/>
        <v>0.55639169708951886</v>
      </c>
      <c r="R69" s="101">
        <f t="shared" si="35"/>
        <v>0.34079410526218379</v>
      </c>
      <c r="T69" s="100">
        <f t="shared" si="28"/>
        <v>2.1014825277736944</v>
      </c>
      <c r="U69" s="119">
        <f>IF('Temperature in bundle'!$P$4="Current = 1A per pair",2,IF($A69="","",('Temperature in bundle'!$Q$6-('Temperature in bundle'!$Q$6^2-4*(T69+V$7)*'Temperature in bundle'!$Q$7)^0.5)/2/(T69+V$7)))</f>
        <v>0.51455032369225417</v>
      </c>
      <c r="V69" s="98">
        <f t="shared" si="29"/>
        <v>0.55639279185600188</v>
      </c>
      <c r="W69" s="101">
        <f t="shared" si="36"/>
        <v>0.34079477452150686</v>
      </c>
      <c r="Y69" s="100">
        <f t="shared" si="30"/>
        <v>2.1014825332515175</v>
      </c>
      <c r="Z69" s="119">
        <f>IF('Temperature in bundle'!$P$4="Current = 1A per pair",2,IF($A69="","",('Temperature in bundle'!$Q$6-('Temperature in bundle'!$Q$6^2-4*(Y69+AA$7)*'Temperature in bundle'!$Q$7)^0.5)/2/(Y69+AA$7)))</f>
        <v>0.51455032373856269</v>
      </c>
      <c r="AA69" s="98">
        <f t="shared" si="31"/>
        <v>0.55639279340646985</v>
      </c>
      <c r="AB69" s="101">
        <f t="shared" si="37"/>
        <v>0.34079477546936376</v>
      </c>
    </row>
    <row r="70" spans="1:28">
      <c r="A70">
        <f t="shared" si="38"/>
        <v>20</v>
      </c>
      <c r="B70" s="113">
        <v>2</v>
      </c>
      <c r="C70" s="113">
        <f>-SQRT(3)</f>
        <v>-1.7320508075688772</v>
      </c>
      <c r="D70" s="113">
        <f t="shared" si="40"/>
        <v>2.6457513110645907</v>
      </c>
      <c r="E70" s="113">
        <f t="shared" si="32"/>
        <v>2</v>
      </c>
      <c r="F70" s="113">
        <f t="shared" si="32"/>
        <v>-1.7320508075688772</v>
      </c>
      <c r="G70" s="113">
        <f t="shared" si="39"/>
        <v>2.2912878474779199</v>
      </c>
      <c r="J70" s="116">
        <f t="shared" si="33"/>
        <v>2.0986931609674486</v>
      </c>
      <c r="K70" s="119">
        <f t="shared" si="24"/>
        <v>0.51453105392986931</v>
      </c>
      <c r="L70" s="98">
        <f t="shared" si="25"/>
        <v>0.55561265601452581</v>
      </c>
      <c r="M70" s="101">
        <f t="shared" si="34"/>
        <v>0.30830398899115824</v>
      </c>
      <c r="O70" s="100">
        <f t="shared" si="26"/>
        <v>2.1012165993129082</v>
      </c>
      <c r="P70" s="119">
        <f>IF('Temperature in bundle'!$P$4="Current = 1A per pair",2,IF($A70="","",('Temperature in bundle'!$Q$6-('Temperature in bundle'!$Q$6^2-4*(O70+Q$7)*'Temperature in bundle'!$Q$7)^0.5)/2/(O70+Q$7)))</f>
        <v>0.51454882400921365</v>
      </c>
      <c r="Q70" s="98">
        <f t="shared" si="27"/>
        <v>0.55631914124046034</v>
      </c>
      <c r="R70" s="101">
        <f t="shared" si="35"/>
        <v>0.30873543264777487</v>
      </c>
      <c r="T70" s="100">
        <f t="shared" si="28"/>
        <v>2.1012201306375284</v>
      </c>
      <c r="U70" s="119">
        <f>IF('Temperature in bundle'!$P$4="Current = 1A per pair",2,IF($A70="","",('Temperature in bundle'!$Q$6-('Temperature in bundle'!$Q$6^2-4*(T70+V$7)*'Temperature in bundle'!$Q$7)^0.5)/2/(T70+V$7)))</f>
        <v>0.51454885095282299</v>
      </c>
      <c r="V70" s="98">
        <f t="shared" si="29"/>
        <v>0.5563201344575085</v>
      </c>
      <c r="W70" s="101">
        <f t="shared" si="36"/>
        <v>0.30873603894953738</v>
      </c>
      <c r="Y70" s="100">
        <f t="shared" si="30"/>
        <v>2.1012201356000499</v>
      </c>
      <c r="Z70" s="119">
        <f>IF('Temperature in bundle'!$P$4="Current = 1A per pair",2,IF($A70="","",('Temperature in bundle'!$Q$6-('Temperature in bundle'!$Q$6^2-4*(Y70+AA$7)*'Temperature in bundle'!$Q$7)^0.5)/2/(Y70+AA$7)))</f>
        <v>0.51454885099624059</v>
      </c>
      <c r="AA70" s="98">
        <f t="shared" si="31"/>
        <v>0.55632013586527285</v>
      </c>
      <c r="AB70" s="101">
        <f t="shared" si="37"/>
        <v>0.30873603980822895</v>
      </c>
    </row>
    <row r="71" spans="1:28">
      <c r="A71">
        <f t="shared" si="38"/>
        <v>21</v>
      </c>
      <c r="B71" s="113">
        <v>2.5</v>
      </c>
      <c r="C71" s="113">
        <f>-SQRT(3)/2</f>
        <v>-0.8660254037844386</v>
      </c>
      <c r="D71" s="113">
        <f t="shared" si="40"/>
        <v>2.6457513110645907</v>
      </c>
      <c r="E71" s="113">
        <f t="shared" si="32"/>
        <v>2.5</v>
      </c>
      <c r="F71" s="113">
        <f t="shared" si="32"/>
        <v>-0.8660254037844386</v>
      </c>
      <c r="G71" s="113">
        <f t="shared" si="39"/>
        <v>2.179449471770337</v>
      </c>
      <c r="J71" s="116">
        <f t="shared" si="33"/>
        <v>2.0986931609674486</v>
      </c>
      <c r="K71" s="119">
        <f t="shared" si="24"/>
        <v>0.51453105392986931</v>
      </c>
      <c r="L71" s="98">
        <f t="shared" si="25"/>
        <v>0.55561265601452581</v>
      </c>
      <c r="M71" s="101">
        <f t="shared" si="34"/>
        <v>0.31630745701231983</v>
      </c>
      <c r="O71" s="100">
        <f t="shared" si="26"/>
        <v>2.1012821069249479</v>
      </c>
      <c r="P71" s="119">
        <f>IF('Temperature in bundle'!$P$4="Current = 1A per pair",2,IF($A71="","",('Temperature in bundle'!$Q$6-('Temperature in bundle'!$Q$6^2-4*(O71+Q$7)*'Temperature in bundle'!$Q$7)^0.5)/2/(O71+Q$7)))</f>
        <v>0.51454919167786906</v>
      </c>
      <c r="Q71" s="98">
        <f t="shared" si="27"/>
        <v>0.55633728012405548</v>
      </c>
      <c r="R71" s="101">
        <f t="shared" si="35"/>
        <v>0.31675010080137711</v>
      </c>
      <c r="T71" s="100">
        <f t="shared" si="28"/>
        <v>2.1012857299215706</v>
      </c>
      <c r="U71" s="119">
        <f>IF('Temperature in bundle'!$P$4="Current = 1A per pair",2,IF($A71="","",('Temperature in bundle'!$Q$6-('Temperature in bundle'!$Q$6^2-4*(T71+V$7)*'Temperature in bundle'!$Q$7)^0.5)/2/(T71+V$7)))</f>
        <v>0.5145492191360761</v>
      </c>
      <c r="V71" s="98">
        <f t="shared" si="29"/>
        <v>0.55633829872824092</v>
      </c>
      <c r="W71" s="101">
        <f t="shared" si="36"/>
        <v>0.31675072284252975</v>
      </c>
      <c r="Y71" s="100">
        <f t="shared" si="30"/>
        <v>2.101285735012917</v>
      </c>
      <c r="Z71" s="119">
        <f>IF('Temperature in bundle'!$P$4="Current = 1A per pair",2,IF($A71="","",('Temperature in bundle'!$Q$6-('Temperature in bundle'!$Q$6^2-4*(Y71+AA$7)*'Temperature in bundle'!$Q$7)^0.5)/2/(Y71+AA$7)))</f>
        <v>0.51454921918021568</v>
      </c>
      <c r="AA71" s="98">
        <f t="shared" si="31"/>
        <v>0.55633830017167918</v>
      </c>
      <c r="AB71" s="101">
        <f t="shared" si="37"/>
        <v>0.31675072372351259</v>
      </c>
    </row>
    <row r="72" spans="1:28">
      <c r="A72">
        <f t="shared" si="38"/>
        <v>22</v>
      </c>
      <c r="B72" s="113">
        <v>3</v>
      </c>
      <c r="C72" s="113">
        <v>0</v>
      </c>
      <c r="D72" s="113">
        <f t="shared" si="40"/>
        <v>3</v>
      </c>
      <c r="E72" s="113">
        <f t="shared" si="32"/>
        <v>3</v>
      </c>
      <c r="F72" s="113">
        <f t="shared" si="32"/>
        <v>0</v>
      </c>
      <c r="G72" s="113">
        <f t="shared" si="39"/>
        <v>2.5</v>
      </c>
      <c r="J72" s="116">
        <f t="shared" si="33"/>
        <v>2.0986931609674486</v>
      </c>
      <c r="K72" s="119">
        <f t="shared" si="24"/>
        <v>0.51453105392986931</v>
      </c>
      <c r="L72" s="98">
        <f t="shared" si="25"/>
        <v>0.55561265601452581</v>
      </c>
      <c r="M72" s="101">
        <f t="shared" si="34"/>
        <v>0.29229705294883496</v>
      </c>
      <c r="O72" s="100">
        <f t="shared" si="26"/>
        <v>2.1010855840888278</v>
      </c>
      <c r="P72" s="119">
        <f>IF('Temperature in bundle'!$P$4="Current = 1A per pair",2,IF($A72="","",('Temperature in bundle'!$Q$6-('Temperature in bundle'!$Q$6^2-4*(O72+Q$7)*'Temperature in bundle'!$Q$7)^0.5)/2/(O72+Q$7)))</f>
        <v>0.51454808867510449</v>
      </c>
      <c r="Q72" s="98">
        <f t="shared" si="27"/>
        <v>0.55628286363061197</v>
      </c>
      <c r="R72" s="101">
        <f t="shared" si="35"/>
        <v>0.29270609634057043</v>
      </c>
      <c r="T72" s="100">
        <f t="shared" si="28"/>
        <v>2.1010889320694459</v>
      </c>
      <c r="U72" s="119">
        <f>IF('Temperature in bundle'!$P$4="Current = 1A per pair",2,IF($A72="","",('Temperature in bundle'!$Q$6-('Temperature in bundle'!$Q$6^2-4*(T72+V$7)*'Temperature in bundle'!$Q$7)^0.5)/2/(T72+V$7)))</f>
        <v>0.51454811458952565</v>
      </c>
      <c r="V72" s="98">
        <f t="shared" si="29"/>
        <v>0.55628380607382344</v>
      </c>
      <c r="W72" s="101">
        <f t="shared" si="36"/>
        <v>0.29270667116355265</v>
      </c>
      <c r="Y72" s="100">
        <f t="shared" si="30"/>
        <v>2.1010889367743166</v>
      </c>
      <c r="Z72" s="119">
        <f>IF('Temperature in bundle'!$P$4="Current = 1A per pair",2,IF($A72="","",('Temperature in bundle'!$Q$6-('Temperature in bundle'!$Q$6^2-4*(Y72+AA$7)*'Temperature in bundle'!$Q$7)^0.5)/2/(Y72+AA$7)))</f>
        <v>0.51454811463149686</v>
      </c>
      <c r="AA72" s="98">
        <f t="shared" si="31"/>
        <v>0.55628380741023487</v>
      </c>
      <c r="AB72" s="101">
        <f t="shared" si="37"/>
        <v>0.29270667197766148</v>
      </c>
    </row>
    <row r="73" spans="1:28">
      <c r="A73">
        <f t="shared" si="38"/>
        <v>23</v>
      </c>
      <c r="B73" s="113">
        <v>2.5</v>
      </c>
      <c r="C73" s="113">
        <f>SQRT(3)/2</f>
        <v>0.8660254037844386</v>
      </c>
      <c r="D73" s="113">
        <f t="shared" si="40"/>
        <v>2.6457513110645907</v>
      </c>
      <c r="E73" s="113">
        <f t="shared" si="32"/>
        <v>2.5</v>
      </c>
      <c r="F73" s="113">
        <f t="shared" si="32"/>
        <v>0.8660254037844386</v>
      </c>
      <c r="G73" s="113">
        <f t="shared" si="39"/>
        <v>2.179449471770337</v>
      </c>
      <c r="J73" s="116">
        <f t="shared" si="33"/>
        <v>2.0986931609674486</v>
      </c>
      <c r="K73" s="119">
        <f t="shared" si="24"/>
        <v>0.51453105392986931</v>
      </c>
      <c r="L73" s="98">
        <f t="shared" si="25"/>
        <v>0.55561265601452581</v>
      </c>
      <c r="M73" s="101">
        <f t="shared" si="34"/>
        <v>0.31630745701231983</v>
      </c>
      <c r="O73" s="100">
        <f t="shared" si="26"/>
        <v>2.1012821069249479</v>
      </c>
      <c r="P73" s="119">
        <f>IF('Temperature in bundle'!$P$4="Current = 1A per pair",2,IF($A73="","",('Temperature in bundle'!$Q$6-('Temperature in bundle'!$Q$6^2-4*(O73+Q$7)*'Temperature in bundle'!$Q$7)^0.5)/2/(O73+Q$7)))</f>
        <v>0.51454919167786906</v>
      </c>
      <c r="Q73" s="98">
        <f t="shared" si="27"/>
        <v>0.55633728012405548</v>
      </c>
      <c r="R73" s="101">
        <f t="shared" si="35"/>
        <v>0.31675010080137711</v>
      </c>
      <c r="T73" s="100">
        <f t="shared" si="28"/>
        <v>2.1012857299215706</v>
      </c>
      <c r="U73" s="119">
        <f>IF('Temperature in bundle'!$P$4="Current = 1A per pair",2,IF($A73="","",('Temperature in bundle'!$Q$6-('Temperature in bundle'!$Q$6^2-4*(T73+V$7)*'Temperature in bundle'!$Q$7)^0.5)/2/(T73+V$7)))</f>
        <v>0.5145492191360761</v>
      </c>
      <c r="V73" s="98">
        <f t="shared" si="29"/>
        <v>0.55633829872824092</v>
      </c>
      <c r="W73" s="101">
        <f t="shared" si="36"/>
        <v>0.31675072284252975</v>
      </c>
      <c r="Y73" s="100">
        <f t="shared" si="30"/>
        <v>2.101285735012917</v>
      </c>
      <c r="Z73" s="119">
        <f>IF('Temperature in bundle'!$P$4="Current = 1A per pair",2,IF($A73="","",('Temperature in bundle'!$Q$6-('Temperature in bundle'!$Q$6^2-4*(Y73+AA$7)*'Temperature in bundle'!$Q$7)^0.5)/2/(Y73+AA$7)))</f>
        <v>0.51454921918021568</v>
      </c>
      <c r="AA73" s="98">
        <f t="shared" si="31"/>
        <v>0.55633830017167918</v>
      </c>
      <c r="AB73" s="101">
        <f t="shared" si="37"/>
        <v>0.31675072372351259</v>
      </c>
    </row>
    <row r="74" spans="1:28">
      <c r="A74">
        <f t="shared" si="38"/>
        <v>24</v>
      </c>
      <c r="B74" s="113">
        <v>2</v>
      </c>
      <c r="C74" s="113">
        <f>SQRT(3)</f>
        <v>1.7320508075688772</v>
      </c>
      <c r="D74" s="113">
        <f t="shared" si="40"/>
        <v>2.6457513110645907</v>
      </c>
      <c r="E74" s="113">
        <f t="shared" si="32"/>
        <v>2</v>
      </c>
      <c r="F74" s="113">
        <f t="shared" si="32"/>
        <v>1.7320508075688772</v>
      </c>
      <c r="G74" s="113">
        <f t="shared" si="39"/>
        <v>2.2912878474779199</v>
      </c>
      <c r="J74" s="116">
        <f t="shared" si="33"/>
        <v>2.0986931609674486</v>
      </c>
      <c r="K74" s="119">
        <f t="shared" si="24"/>
        <v>0.51453105392986931</v>
      </c>
      <c r="L74" s="98">
        <f t="shared" si="25"/>
        <v>0.55561265601452581</v>
      </c>
      <c r="M74" s="101">
        <f t="shared" si="34"/>
        <v>0.30830398899115824</v>
      </c>
      <c r="O74" s="100">
        <f t="shared" si="26"/>
        <v>2.1012165993129082</v>
      </c>
      <c r="P74" s="119">
        <f>IF('Temperature in bundle'!$P$4="Current = 1A per pair",2,IF($A74="","",('Temperature in bundle'!$Q$6-('Temperature in bundle'!$Q$6^2-4*(O74+Q$7)*'Temperature in bundle'!$Q$7)^0.5)/2/(O74+Q$7)))</f>
        <v>0.51454882400921365</v>
      </c>
      <c r="Q74" s="98">
        <f t="shared" si="27"/>
        <v>0.55631914124046034</v>
      </c>
      <c r="R74" s="101">
        <f t="shared" si="35"/>
        <v>0.30873543264777487</v>
      </c>
      <c r="T74" s="100">
        <f t="shared" si="28"/>
        <v>2.1012201306375284</v>
      </c>
      <c r="U74" s="119">
        <f>IF('Temperature in bundle'!$P$4="Current = 1A per pair",2,IF($A74="","",('Temperature in bundle'!$Q$6-('Temperature in bundle'!$Q$6^2-4*(T74+V$7)*'Temperature in bundle'!$Q$7)^0.5)/2/(T74+V$7)))</f>
        <v>0.51454885095282299</v>
      </c>
      <c r="V74" s="98">
        <f t="shared" si="29"/>
        <v>0.5563201344575085</v>
      </c>
      <c r="W74" s="101">
        <f t="shared" si="36"/>
        <v>0.30873603894953738</v>
      </c>
      <c r="Y74" s="100">
        <f t="shared" si="30"/>
        <v>2.1012201356000499</v>
      </c>
      <c r="Z74" s="119">
        <f>IF('Temperature in bundle'!$P$4="Current = 1A per pair",2,IF($A74="","",('Temperature in bundle'!$Q$6-('Temperature in bundle'!$Q$6^2-4*(Y74+AA$7)*'Temperature in bundle'!$Q$7)^0.5)/2/(Y74+AA$7)))</f>
        <v>0.51454885099624059</v>
      </c>
      <c r="AA74" s="98">
        <f t="shared" si="31"/>
        <v>0.55632013586527285</v>
      </c>
      <c r="AB74" s="101">
        <f t="shared" si="37"/>
        <v>0.30873603980822895</v>
      </c>
    </row>
    <row r="75" spans="1:28">
      <c r="B75" s="113"/>
      <c r="C75" s="113"/>
      <c r="D75" s="113"/>
      <c r="E75" s="113"/>
      <c r="F75" s="113"/>
      <c r="G75" s="113"/>
      <c r="J75" s="116"/>
      <c r="K75" s="119"/>
      <c r="L75" s="98"/>
      <c r="M75" s="101"/>
      <c r="O75" s="100"/>
      <c r="P75" s="119" t="str">
        <f>IF('Temperature in bundle'!$P$4="Current = 1A per pair",2,IF($A75="","",('Temperature in bundle'!$Q$6-('Temperature in bundle'!$Q$6^2-4*(O75+Q$7)*'Temperature in bundle'!$Q$7)^0.5)/2/(O75+Q$7)))</f>
        <v/>
      </c>
      <c r="Q75" s="98"/>
      <c r="R75" s="101"/>
      <c r="T75" s="100"/>
      <c r="U75" s="119" t="str">
        <f>IF('Temperature in bundle'!$P$4="Current = 1A per pair",2,IF($A75="","",('Temperature in bundle'!$Q$6-('Temperature in bundle'!$Q$6^2-4*(T75+V$7)*'Temperature in bundle'!$Q$7)^0.5)/2/(T75+V$7)))</f>
        <v/>
      </c>
      <c r="V75" s="98"/>
      <c r="W75" s="101"/>
      <c r="Y75" s="100"/>
      <c r="Z75" s="119" t="str">
        <f>IF('Temperature in bundle'!$P$4="Current = 1A per pair",2,IF($A75="","",('Temperature in bundle'!$Q$6-('Temperature in bundle'!$Q$6^2-4*(Y75+AA$7)*'Temperature in bundle'!$Q$7)^0.5)/2/(Y75+AA$7)))</f>
        <v/>
      </c>
      <c r="AA75" s="98"/>
      <c r="AB75" s="101"/>
    </row>
    <row r="76" spans="1:28">
      <c r="B76" s="113"/>
      <c r="C76" s="113"/>
      <c r="D76" s="113"/>
      <c r="E76" s="113"/>
      <c r="F76" s="113"/>
      <c r="G76" s="113"/>
      <c r="J76" s="116"/>
      <c r="K76" s="119"/>
      <c r="L76" s="98"/>
      <c r="M76" s="101"/>
      <c r="O76" s="100"/>
      <c r="P76" s="119" t="str">
        <f>IF('Temperature in bundle'!$P$4="Current = 1A per pair",2,IF($A76="","",('Temperature in bundle'!$Q$6-('Temperature in bundle'!$Q$6^2-4*(O76+Q$7)*'Temperature in bundle'!$Q$7)^0.5)/2/(O76+Q$7)))</f>
        <v/>
      </c>
      <c r="Q76" s="98"/>
      <c r="R76" s="101"/>
      <c r="T76" s="100"/>
      <c r="U76" s="119" t="str">
        <f>IF('Temperature in bundle'!$P$4="Current = 1A per pair",2,IF($A76="","",('Temperature in bundle'!$Q$6-('Temperature in bundle'!$Q$6^2-4*(T76+V$7)*'Temperature in bundle'!$Q$7)^0.5)/2/(T76+V$7)))</f>
        <v/>
      </c>
      <c r="V76" s="98"/>
      <c r="W76" s="101"/>
      <c r="Y76" s="100"/>
      <c r="Z76" s="119" t="str">
        <f>IF('Temperature in bundle'!$P$4="Current = 1A per pair",2,IF($A76="","",('Temperature in bundle'!$Q$6-('Temperature in bundle'!$Q$6^2-4*(Y76+AA$7)*'Temperature in bundle'!$Q$7)^0.5)/2/(Y76+AA$7)))</f>
        <v/>
      </c>
      <c r="AA76" s="98"/>
      <c r="AB76" s="101"/>
    </row>
    <row r="77" spans="1:28">
      <c r="B77" s="113"/>
      <c r="C77" s="113"/>
      <c r="D77" s="113"/>
      <c r="E77" s="113"/>
      <c r="F77" s="113"/>
      <c r="G77" s="113"/>
      <c r="J77" s="116"/>
      <c r="K77" s="119"/>
      <c r="L77" s="98"/>
      <c r="M77" s="101"/>
      <c r="O77" s="100"/>
      <c r="P77" s="119" t="str">
        <f>IF('Temperature in bundle'!$P$4="Current = 1A per pair",2,IF($A77="","",('Temperature in bundle'!$Q$6-('Temperature in bundle'!$Q$6^2-4*(O77+Q$7)*'Temperature in bundle'!$Q$7)^0.5)/2/(O77+Q$7)))</f>
        <v/>
      </c>
      <c r="Q77" s="98"/>
      <c r="R77" s="101"/>
      <c r="T77" s="100"/>
      <c r="U77" s="119" t="str">
        <f>IF('Temperature in bundle'!$P$4="Current = 1A per pair",2,IF($A77="","",('Temperature in bundle'!$Q$6-('Temperature in bundle'!$Q$6^2-4*(T77+V$7)*'Temperature in bundle'!$Q$7)^0.5)/2/(T77+V$7)))</f>
        <v/>
      </c>
      <c r="V77" s="98"/>
      <c r="W77" s="101"/>
      <c r="Y77" s="100"/>
      <c r="Z77" s="119" t="str">
        <f>IF('Temperature in bundle'!$P$4="Current = 1A per pair",2,IF($A77="","",('Temperature in bundle'!$Q$6-('Temperature in bundle'!$Q$6^2-4*(Y77+AA$7)*'Temperature in bundle'!$Q$7)^0.5)/2/(Y77+AA$7)))</f>
        <v/>
      </c>
      <c r="AA77" s="98"/>
      <c r="AB77" s="101"/>
    </row>
    <row r="78" spans="1:28">
      <c r="B78" s="113"/>
      <c r="C78" s="113"/>
      <c r="D78" s="113"/>
      <c r="E78" s="113"/>
      <c r="F78" s="113"/>
      <c r="G78" s="113"/>
      <c r="J78" s="116"/>
      <c r="K78" s="119"/>
      <c r="L78" s="98"/>
      <c r="M78" s="101"/>
      <c r="O78" s="100"/>
      <c r="P78" s="119" t="str">
        <f>IF('Temperature in bundle'!$P$4="Current = 1A per pair",2,IF($A78="","",('Temperature in bundle'!$Q$6-('Temperature in bundle'!$Q$6^2-4*(O78+Q$7)*'Temperature in bundle'!$Q$7)^0.5)/2/(O78+Q$7)))</f>
        <v/>
      </c>
      <c r="Q78" s="98"/>
      <c r="R78" s="101"/>
      <c r="T78" s="100"/>
      <c r="U78" s="119" t="str">
        <f>IF('Temperature in bundle'!$P$4="Current = 1A per pair",2,IF($A78="","",('Temperature in bundle'!$Q$6-('Temperature in bundle'!$Q$6^2-4*(T78+V$7)*'Temperature in bundle'!$Q$7)^0.5)/2/(T78+V$7)))</f>
        <v/>
      </c>
      <c r="V78" s="98"/>
      <c r="W78" s="101"/>
      <c r="Y78" s="100"/>
      <c r="Z78" s="119" t="str">
        <f>IF('Temperature in bundle'!$P$4="Current = 1A per pair",2,IF($A78="","",('Temperature in bundle'!$Q$6-('Temperature in bundle'!$Q$6^2-4*(Y78+AA$7)*'Temperature in bundle'!$Q$7)^0.5)/2/(Y78+AA$7)))</f>
        <v/>
      </c>
      <c r="AA78" s="98"/>
      <c r="AB78" s="101"/>
    </row>
    <row r="79" spans="1:28">
      <c r="B79" s="113"/>
      <c r="C79" s="113"/>
      <c r="D79" s="113"/>
      <c r="E79" s="113"/>
      <c r="F79" s="113"/>
      <c r="G79" s="113"/>
      <c r="J79" s="116"/>
      <c r="K79" s="119"/>
      <c r="L79" s="98"/>
      <c r="M79" s="101"/>
      <c r="O79" s="100"/>
      <c r="P79" s="119" t="str">
        <f>IF('Temperature in bundle'!$P$4="Current = 1A per pair",2,IF($A79="","",('Temperature in bundle'!$Q$6-('Temperature in bundle'!$Q$6^2-4*(O79+Q$7)*'Temperature in bundle'!$Q$7)^0.5)/2/(O79+Q$7)))</f>
        <v/>
      </c>
      <c r="Q79" s="98"/>
      <c r="R79" s="101"/>
      <c r="T79" s="100"/>
      <c r="U79" s="119" t="str">
        <f>IF('Temperature in bundle'!$P$4="Current = 1A per pair",2,IF($A79="","",('Temperature in bundle'!$Q$6-('Temperature in bundle'!$Q$6^2-4*(T79+V$7)*'Temperature in bundle'!$Q$7)^0.5)/2/(T79+V$7)))</f>
        <v/>
      </c>
      <c r="V79" s="98"/>
      <c r="W79" s="101"/>
      <c r="Y79" s="100"/>
      <c r="Z79" s="119" t="str">
        <f>IF('Temperature in bundle'!$P$4="Current = 1A per pair",2,IF($A79="","",('Temperature in bundle'!$Q$6-('Temperature in bundle'!$Q$6^2-4*(Y79+AA$7)*'Temperature in bundle'!$Q$7)^0.5)/2/(Y79+AA$7)))</f>
        <v/>
      </c>
      <c r="AA79" s="98"/>
      <c r="AB79" s="101"/>
    </row>
    <row r="80" spans="1:28">
      <c r="B80" s="113"/>
      <c r="C80" s="113"/>
      <c r="D80" s="113"/>
      <c r="E80" s="113"/>
      <c r="F80" s="113"/>
      <c r="G80" s="113"/>
      <c r="J80" s="116"/>
      <c r="K80" s="119"/>
      <c r="L80" s="98"/>
      <c r="M80" s="101"/>
      <c r="O80" s="100"/>
      <c r="P80" s="119" t="str">
        <f>IF('Temperature in bundle'!$P$4="Current = 1A per pair",2,IF($A80="","",('Temperature in bundle'!$Q$6-('Temperature in bundle'!$Q$6^2-4*(O80+Q$7)*'Temperature in bundle'!$Q$7)^0.5)/2/(O80+Q$7)))</f>
        <v/>
      </c>
      <c r="Q80" s="98"/>
      <c r="R80" s="101"/>
      <c r="T80" s="100"/>
      <c r="U80" s="119" t="str">
        <f>IF('Temperature in bundle'!$P$4="Current = 1A per pair",2,IF($A80="","",('Temperature in bundle'!$Q$6-('Temperature in bundle'!$Q$6^2-4*(T80+V$7)*'Temperature in bundle'!$Q$7)^0.5)/2/(T80+V$7)))</f>
        <v/>
      </c>
      <c r="V80" s="98"/>
      <c r="W80" s="101"/>
      <c r="Y80" s="100"/>
      <c r="Z80" s="119" t="str">
        <f>IF('Temperature in bundle'!$P$4="Current = 1A per pair",2,IF($A80="","",('Temperature in bundle'!$Q$6-('Temperature in bundle'!$Q$6^2-4*(Y80+AA$7)*'Temperature in bundle'!$Q$7)^0.5)/2/(Y80+AA$7)))</f>
        <v/>
      </c>
      <c r="AA80" s="98"/>
      <c r="AB80" s="101"/>
    </row>
    <row r="81" spans="2:28">
      <c r="B81" s="113"/>
      <c r="C81" s="113"/>
      <c r="D81" s="113"/>
      <c r="E81" s="113"/>
      <c r="F81" s="113"/>
      <c r="G81" s="113"/>
      <c r="J81" s="116"/>
      <c r="K81" s="119"/>
      <c r="L81" s="98"/>
      <c r="M81" s="101"/>
      <c r="O81" s="100"/>
      <c r="P81" s="119" t="str">
        <f>IF('Temperature in bundle'!$P$4="Current = 1A per pair",2,IF($A81="","",('Temperature in bundle'!$Q$6-('Temperature in bundle'!$Q$6^2-4*(O81+Q$7)*'Temperature in bundle'!$Q$7)^0.5)/2/(O81+Q$7)))</f>
        <v/>
      </c>
      <c r="Q81" s="98"/>
      <c r="R81" s="101"/>
      <c r="T81" s="100"/>
      <c r="U81" s="119" t="str">
        <f>IF('Temperature in bundle'!$P$4="Current = 1A per pair",2,IF($A81="","",('Temperature in bundle'!$Q$6-('Temperature in bundle'!$Q$6^2-4*(T81+V$7)*'Temperature in bundle'!$Q$7)^0.5)/2/(T81+V$7)))</f>
        <v/>
      </c>
      <c r="V81" s="98"/>
      <c r="W81" s="101"/>
      <c r="Y81" s="100"/>
      <c r="Z81" s="119" t="str">
        <f>IF('Temperature in bundle'!$P$4="Current = 1A per pair",2,IF($A81="","",('Temperature in bundle'!$Q$6-('Temperature in bundle'!$Q$6^2-4*(Y81+AA$7)*'Temperature in bundle'!$Q$7)^0.5)/2/(Y81+AA$7)))</f>
        <v/>
      </c>
      <c r="AA81" s="98"/>
      <c r="AB81" s="101"/>
    </row>
    <row r="82" spans="2:28">
      <c r="B82" s="113"/>
      <c r="C82" s="113"/>
      <c r="D82" s="113"/>
      <c r="E82" s="113"/>
      <c r="F82" s="113"/>
      <c r="G82" s="113"/>
      <c r="J82" s="116"/>
      <c r="K82" s="119"/>
      <c r="L82" s="98"/>
      <c r="M82" s="101"/>
      <c r="O82" s="100"/>
      <c r="P82" s="119" t="str">
        <f>IF('Temperature in bundle'!$P$4="Current = 1A per pair",2,IF($A82="","",('Temperature in bundle'!$Q$6-('Temperature in bundle'!$Q$6^2-4*(O82+Q$7)*'Temperature in bundle'!$Q$7)^0.5)/2/(O82+Q$7)))</f>
        <v/>
      </c>
      <c r="Q82" s="98"/>
      <c r="R82" s="101"/>
      <c r="T82" s="100"/>
      <c r="U82" s="119" t="str">
        <f>IF('Temperature in bundle'!$P$4="Current = 1A per pair",2,IF($A82="","",('Temperature in bundle'!$Q$6-('Temperature in bundle'!$Q$6^2-4*(T82+V$7)*'Temperature in bundle'!$Q$7)^0.5)/2/(T82+V$7)))</f>
        <v/>
      </c>
      <c r="V82" s="98"/>
      <c r="W82" s="101"/>
      <c r="Y82" s="100"/>
      <c r="Z82" s="119" t="str">
        <f>IF('Temperature in bundle'!$P$4="Current = 1A per pair",2,IF($A82="","",('Temperature in bundle'!$Q$6-('Temperature in bundle'!$Q$6^2-4*(Y82+AA$7)*'Temperature in bundle'!$Q$7)^0.5)/2/(Y82+AA$7)))</f>
        <v/>
      </c>
      <c r="AA82" s="98"/>
      <c r="AB82" s="101"/>
    </row>
    <row r="83" spans="2:28">
      <c r="B83" s="113"/>
      <c r="C83" s="113"/>
      <c r="D83" s="113"/>
      <c r="E83" s="113"/>
      <c r="F83" s="113"/>
      <c r="G83" s="113"/>
      <c r="J83" s="116"/>
      <c r="K83" s="119"/>
      <c r="L83" s="98"/>
      <c r="M83" s="101"/>
      <c r="O83" s="100"/>
      <c r="P83" s="119" t="str">
        <f>IF('Temperature in bundle'!$P$4="Current = 1A per pair",2,IF($A83="","",('Temperature in bundle'!$Q$6-('Temperature in bundle'!$Q$6^2-4*(O83+Q$7)*'Temperature in bundle'!$Q$7)^0.5)/2/(O83+Q$7)))</f>
        <v/>
      </c>
      <c r="Q83" s="98"/>
      <c r="R83" s="101"/>
      <c r="T83" s="100"/>
      <c r="U83" s="119" t="str">
        <f>IF('Temperature in bundle'!$P$4="Current = 1A per pair",2,IF($A83="","",('Temperature in bundle'!$Q$6-('Temperature in bundle'!$Q$6^2-4*(T83+V$7)*'Temperature in bundle'!$Q$7)^0.5)/2/(T83+V$7)))</f>
        <v/>
      </c>
      <c r="V83" s="98"/>
      <c r="W83" s="101"/>
      <c r="Y83" s="100"/>
      <c r="Z83" s="119" t="str">
        <f>IF('Temperature in bundle'!$P$4="Current = 1A per pair",2,IF($A83="","",('Temperature in bundle'!$Q$6-('Temperature in bundle'!$Q$6^2-4*(Y83+AA$7)*'Temperature in bundle'!$Q$7)^0.5)/2/(Y83+AA$7)))</f>
        <v/>
      </c>
      <c r="AA83" s="98"/>
      <c r="AB83" s="101"/>
    </row>
    <row r="84" spans="2:28">
      <c r="B84" s="113"/>
      <c r="C84" s="113"/>
      <c r="D84" s="113"/>
      <c r="E84" s="113"/>
      <c r="F84" s="113"/>
      <c r="G84" s="113"/>
      <c r="J84" s="116"/>
      <c r="K84" s="119"/>
      <c r="L84" s="98"/>
      <c r="M84" s="101"/>
      <c r="O84" s="100"/>
      <c r="P84" s="119" t="str">
        <f>IF('Temperature in bundle'!$P$4="Current = 1A per pair",2,IF($A84="","",('Temperature in bundle'!$Q$6-('Temperature in bundle'!$Q$6^2-4*(O84+Q$7)*'Temperature in bundle'!$Q$7)^0.5)/2/(O84+Q$7)))</f>
        <v/>
      </c>
      <c r="Q84" s="98"/>
      <c r="R84" s="101"/>
      <c r="T84" s="100"/>
      <c r="U84" s="119" t="str">
        <f>IF('Temperature in bundle'!$P$4="Current = 1A per pair",2,IF($A84="","",('Temperature in bundle'!$Q$6-('Temperature in bundle'!$Q$6^2-4*(T84+V$7)*'Temperature in bundle'!$Q$7)^0.5)/2/(T84+V$7)))</f>
        <v/>
      </c>
      <c r="V84" s="98"/>
      <c r="W84" s="101"/>
      <c r="Y84" s="100"/>
      <c r="Z84" s="119" t="str">
        <f>IF('Temperature in bundle'!$P$4="Current = 1A per pair",2,IF($A84="","",('Temperature in bundle'!$Q$6-('Temperature in bundle'!$Q$6^2-4*(Y84+AA$7)*'Temperature in bundle'!$Q$7)^0.5)/2/(Y84+AA$7)))</f>
        <v/>
      </c>
      <c r="AA84" s="98"/>
      <c r="AB84" s="101"/>
    </row>
    <row r="85" spans="2:28">
      <c r="B85" s="113"/>
      <c r="C85" s="113"/>
      <c r="D85" s="113"/>
      <c r="E85" s="113"/>
      <c r="F85" s="113"/>
      <c r="G85" s="113"/>
      <c r="J85" s="116"/>
      <c r="K85" s="119"/>
      <c r="L85" s="98"/>
      <c r="M85" s="101"/>
      <c r="O85" s="100"/>
      <c r="P85" s="119" t="str">
        <f>IF('Temperature in bundle'!$P$4="Current = 1A per pair",2,IF($A85="","",('Temperature in bundle'!$Q$6-('Temperature in bundle'!$Q$6^2-4*(O85+Q$7)*'Temperature in bundle'!$Q$7)^0.5)/2/(O85+Q$7)))</f>
        <v/>
      </c>
      <c r="Q85" s="98"/>
      <c r="R85" s="101"/>
      <c r="T85" s="100"/>
      <c r="U85" s="119" t="str">
        <f>IF('Temperature in bundle'!$P$4="Current = 1A per pair",2,IF($A85="","",('Temperature in bundle'!$Q$6-('Temperature in bundle'!$Q$6^2-4*(T85+V$7)*'Temperature in bundle'!$Q$7)^0.5)/2/(T85+V$7)))</f>
        <v/>
      </c>
      <c r="V85" s="98"/>
      <c r="W85" s="101"/>
      <c r="Y85" s="100"/>
      <c r="Z85" s="119" t="str">
        <f>IF('Temperature in bundle'!$P$4="Current = 1A per pair",2,IF($A85="","",('Temperature in bundle'!$Q$6-('Temperature in bundle'!$Q$6^2-4*(Y85+AA$7)*'Temperature in bundle'!$Q$7)^0.5)/2/(Y85+AA$7)))</f>
        <v/>
      </c>
      <c r="AA85" s="98"/>
      <c r="AB85" s="101"/>
    </row>
    <row r="86" spans="2:28">
      <c r="B86" s="113"/>
      <c r="C86" s="113"/>
      <c r="D86" s="113"/>
      <c r="E86" s="113"/>
      <c r="F86" s="113"/>
      <c r="G86" s="113"/>
      <c r="J86" s="116"/>
      <c r="K86" s="119"/>
      <c r="L86" s="98"/>
      <c r="M86" s="101"/>
      <c r="O86" s="100"/>
      <c r="P86" s="119" t="str">
        <f>IF('Temperature in bundle'!$P$4="Current = 1A per pair",2,IF($A86="","",('Temperature in bundle'!$Q$6-('Temperature in bundle'!$Q$6^2-4*(O86+Q$7)*'Temperature in bundle'!$Q$7)^0.5)/2/(O86+Q$7)))</f>
        <v/>
      </c>
      <c r="Q86" s="98"/>
      <c r="R86" s="101"/>
      <c r="T86" s="100"/>
      <c r="U86" s="119" t="str">
        <f>IF('Temperature in bundle'!$P$4="Current = 1A per pair",2,IF($A86="","",('Temperature in bundle'!$Q$6-('Temperature in bundle'!$Q$6^2-4*(T86+V$7)*'Temperature in bundle'!$Q$7)^0.5)/2/(T86+V$7)))</f>
        <v/>
      </c>
      <c r="V86" s="98"/>
      <c r="W86" s="101"/>
      <c r="Y86" s="100"/>
      <c r="Z86" s="119" t="str">
        <f>IF('Temperature in bundle'!$P$4="Current = 1A per pair",2,IF($A86="","",('Temperature in bundle'!$Q$6-('Temperature in bundle'!$Q$6^2-4*(Y86+AA$7)*'Temperature in bundle'!$Q$7)^0.5)/2/(Y86+AA$7)))</f>
        <v/>
      </c>
      <c r="AA86" s="98"/>
      <c r="AB86" s="101"/>
    </row>
    <row r="87" spans="2:28">
      <c r="B87" s="113"/>
      <c r="C87" s="113"/>
      <c r="D87" s="113"/>
      <c r="E87" s="113"/>
      <c r="F87" s="113"/>
      <c r="G87" s="113"/>
      <c r="J87" s="116"/>
      <c r="K87" s="119"/>
      <c r="L87" s="98"/>
      <c r="M87" s="101"/>
      <c r="O87" s="100"/>
      <c r="P87" s="119" t="str">
        <f>IF('Temperature in bundle'!$P$4="Current = 1A per pair",2,IF($A87="","",('Temperature in bundle'!$Q$6-('Temperature in bundle'!$Q$6^2-4*(O87+Q$7)*'Temperature in bundle'!$Q$7)^0.5)/2/(O87+Q$7)))</f>
        <v/>
      </c>
      <c r="Q87" s="98"/>
      <c r="R87" s="101"/>
      <c r="T87" s="100"/>
      <c r="U87" s="119" t="str">
        <f>IF('Temperature in bundle'!$P$4="Current = 1A per pair",2,IF($A87="","",('Temperature in bundle'!$Q$6-('Temperature in bundle'!$Q$6^2-4*(T87+V$7)*'Temperature in bundle'!$Q$7)^0.5)/2/(T87+V$7)))</f>
        <v/>
      </c>
      <c r="V87" s="98"/>
      <c r="W87" s="101"/>
      <c r="Y87" s="100"/>
      <c r="Z87" s="119" t="str">
        <f>IF('Temperature in bundle'!$P$4="Current = 1A per pair",2,IF($A87="","",('Temperature in bundle'!$Q$6-('Temperature in bundle'!$Q$6^2-4*(Y87+AA$7)*'Temperature in bundle'!$Q$7)^0.5)/2/(Y87+AA$7)))</f>
        <v/>
      </c>
      <c r="AA87" s="98"/>
      <c r="AB87" s="101"/>
    </row>
    <row r="88" spans="2:28">
      <c r="B88" s="113"/>
      <c r="C88" s="113"/>
      <c r="D88" s="113"/>
      <c r="E88" s="113"/>
      <c r="F88" s="113"/>
      <c r="G88" s="113"/>
      <c r="J88" s="116"/>
      <c r="K88" s="119"/>
      <c r="L88" s="98"/>
      <c r="M88" s="101"/>
      <c r="O88" s="100"/>
      <c r="P88" s="119" t="str">
        <f>IF('Temperature in bundle'!$P$4="Current = 1A per pair",2,IF($A88="","",('Temperature in bundle'!$Q$6-('Temperature in bundle'!$Q$6^2-4*(O88+Q$7)*'Temperature in bundle'!$Q$7)^0.5)/2/(O88+Q$7)))</f>
        <v/>
      </c>
      <c r="Q88" s="98"/>
      <c r="R88" s="101"/>
      <c r="T88" s="100"/>
      <c r="U88" s="119" t="str">
        <f>IF('Temperature in bundle'!$P$4="Current = 1A per pair",2,IF($A88="","",('Temperature in bundle'!$Q$6-('Temperature in bundle'!$Q$6^2-4*(T88+V$7)*'Temperature in bundle'!$Q$7)^0.5)/2/(T88+V$7)))</f>
        <v/>
      </c>
      <c r="V88" s="98"/>
      <c r="W88" s="101"/>
      <c r="Y88" s="100"/>
      <c r="Z88" s="119" t="str">
        <f>IF('Temperature in bundle'!$P$4="Current = 1A per pair",2,IF($A88="","",('Temperature in bundle'!$Q$6-('Temperature in bundle'!$Q$6^2-4*(Y88+AA$7)*'Temperature in bundle'!$Q$7)^0.5)/2/(Y88+AA$7)))</f>
        <v/>
      </c>
      <c r="AA88" s="98"/>
      <c r="AB88" s="101"/>
    </row>
    <row r="89" spans="2:28">
      <c r="B89" s="113"/>
      <c r="C89" s="113"/>
      <c r="D89" s="113"/>
      <c r="E89" s="113"/>
      <c r="F89" s="113"/>
      <c r="G89" s="113"/>
      <c r="J89" s="116"/>
      <c r="K89" s="119"/>
      <c r="L89" s="98"/>
      <c r="M89" s="101"/>
      <c r="O89" s="100"/>
      <c r="P89" s="119" t="str">
        <f>IF('Temperature in bundle'!$P$4="Current = 1A per pair",2,IF($A89="","",('Temperature in bundle'!$Q$6-('Temperature in bundle'!$Q$6^2-4*(O89+Q$7)*'Temperature in bundle'!$Q$7)^0.5)/2/(O89+Q$7)))</f>
        <v/>
      </c>
      <c r="Q89" s="98"/>
      <c r="R89" s="101"/>
      <c r="T89" s="100"/>
      <c r="U89" s="119" t="str">
        <f>IF('Temperature in bundle'!$P$4="Current = 1A per pair",2,IF($A89="","",('Temperature in bundle'!$Q$6-('Temperature in bundle'!$Q$6^2-4*(T89+V$7)*'Temperature in bundle'!$Q$7)^0.5)/2/(T89+V$7)))</f>
        <v/>
      </c>
      <c r="V89" s="98"/>
      <c r="W89" s="101"/>
      <c r="Y89" s="100"/>
      <c r="Z89" s="119" t="str">
        <f>IF('Temperature in bundle'!$P$4="Current = 1A per pair",2,IF($A89="","",('Temperature in bundle'!$Q$6-('Temperature in bundle'!$Q$6^2-4*(Y89+AA$7)*'Temperature in bundle'!$Q$7)^0.5)/2/(Y89+AA$7)))</f>
        <v/>
      </c>
      <c r="AA89" s="98"/>
      <c r="AB89" s="101"/>
    </row>
    <row r="90" spans="2:28">
      <c r="B90" s="113"/>
      <c r="C90" s="113"/>
      <c r="D90" s="113"/>
      <c r="E90" s="113"/>
      <c r="F90" s="113"/>
      <c r="G90" s="113"/>
      <c r="J90" s="116"/>
      <c r="K90" s="119"/>
      <c r="L90" s="98"/>
      <c r="M90" s="101"/>
      <c r="O90" s="100"/>
      <c r="P90" s="119" t="str">
        <f>IF('Temperature in bundle'!$P$4="Current = 1A per pair",2,IF($A90="","",('Temperature in bundle'!$Q$6-('Temperature in bundle'!$Q$6^2-4*(O90+Q$7)*'Temperature in bundle'!$Q$7)^0.5)/2/(O90+Q$7)))</f>
        <v/>
      </c>
      <c r="Q90" s="98"/>
      <c r="R90" s="101"/>
      <c r="T90" s="100"/>
      <c r="U90" s="119" t="str">
        <f>IF('Temperature in bundle'!$P$4="Current = 1A per pair",2,IF($A90="","",('Temperature in bundle'!$Q$6-('Temperature in bundle'!$Q$6^2-4*(T90+V$7)*'Temperature in bundle'!$Q$7)^0.5)/2/(T90+V$7)))</f>
        <v/>
      </c>
      <c r="V90" s="98"/>
      <c r="W90" s="101"/>
      <c r="Y90" s="100"/>
      <c r="Z90" s="119" t="str">
        <f>IF('Temperature in bundle'!$P$4="Current = 1A per pair",2,IF($A90="","",('Temperature in bundle'!$Q$6-('Temperature in bundle'!$Q$6^2-4*(Y90+AA$7)*'Temperature in bundle'!$Q$7)^0.5)/2/(Y90+AA$7)))</f>
        <v/>
      </c>
      <c r="AA90" s="98"/>
      <c r="AB90" s="101"/>
    </row>
    <row r="91" spans="2:28">
      <c r="B91" s="113"/>
      <c r="C91" s="113"/>
      <c r="D91" s="113"/>
      <c r="E91" s="113"/>
      <c r="F91" s="113"/>
      <c r="G91" s="113"/>
      <c r="J91" s="116"/>
      <c r="K91" s="119"/>
      <c r="L91" s="98"/>
      <c r="M91" s="101"/>
      <c r="O91" s="100"/>
      <c r="P91" s="119" t="str">
        <f>IF('Temperature in bundle'!$P$4="Current = 1A per pair",2,IF($A91="","",('Temperature in bundle'!$Q$6-('Temperature in bundle'!$Q$6^2-4*(O91+Q$7)*'Temperature in bundle'!$Q$7)^0.5)/2/(O91+Q$7)))</f>
        <v/>
      </c>
      <c r="Q91" s="98"/>
      <c r="R91" s="101"/>
      <c r="T91" s="100"/>
      <c r="U91" s="119" t="str">
        <f>IF('Temperature in bundle'!$P$4="Current = 1A per pair",2,IF($A91="","",('Temperature in bundle'!$Q$6-('Temperature in bundle'!$Q$6^2-4*(T91+V$7)*'Temperature in bundle'!$Q$7)^0.5)/2/(T91+V$7)))</f>
        <v/>
      </c>
      <c r="V91" s="98"/>
      <c r="W91" s="101"/>
      <c r="Y91" s="100"/>
      <c r="Z91" s="119" t="str">
        <f>IF('Temperature in bundle'!$P$4="Current = 1A per pair",2,IF($A91="","",('Temperature in bundle'!$Q$6-('Temperature in bundle'!$Q$6^2-4*(Y91+AA$7)*'Temperature in bundle'!$Q$7)^0.5)/2/(Y91+AA$7)))</f>
        <v/>
      </c>
      <c r="AA91" s="98"/>
      <c r="AB91" s="101"/>
    </row>
    <row r="92" spans="2:28">
      <c r="B92" s="113"/>
      <c r="C92" s="113"/>
      <c r="D92" s="113"/>
      <c r="E92" s="113"/>
      <c r="F92" s="113"/>
      <c r="G92" s="113"/>
      <c r="J92" s="116"/>
      <c r="K92" s="119"/>
      <c r="L92" s="98"/>
      <c r="M92" s="101"/>
      <c r="O92" s="100"/>
      <c r="P92" s="119" t="str">
        <f>IF('Temperature in bundle'!$P$4="Current = 1A per pair",2,IF($A92="","",('Temperature in bundle'!$Q$6-('Temperature in bundle'!$Q$6^2-4*(O92+Q$7)*'Temperature in bundle'!$Q$7)^0.5)/2/(O92+Q$7)))</f>
        <v/>
      </c>
      <c r="Q92" s="98"/>
      <c r="R92" s="101"/>
      <c r="T92" s="100"/>
      <c r="U92" s="119" t="str">
        <f>IF('Temperature in bundle'!$P$4="Current = 1A per pair",2,IF($A92="","",('Temperature in bundle'!$Q$6-('Temperature in bundle'!$Q$6^2-4*(T92+V$7)*'Temperature in bundle'!$Q$7)^0.5)/2/(T92+V$7)))</f>
        <v/>
      </c>
      <c r="V92" s="98"/>
      <c r="W92" s="101"/>
      <c r="Y92" s="100"/>
      <c r="Z92" s="119" t="str">
        <f>IF('Temperature in bundle'!$P$4="Current = 1A per pair",2,IF($A92="","",('Temperature in bundle'!$Q$6-('Temperature in bundle'!$Q$6^2-4*(Y92+AA$7)*'Temperature in bundle'!$Q$7)^0.5)/2/(Y92+AA$7)))</f>
        <v/>
      </c>
      <c r="AA92" s="98"/>
      <c r="AB92" s="101"/>
    </row>
    <row r="93" spans="2:28">
      <c r="B93" s="113"/>
      <c r="C93" s="113"/>
      <c r="D93" s="113"/>
      <c r="E93" s="113"/>
      <c r="F93" s="113"/>
      <c r="G93" s="113"/>
      <c r="J93" s="116"/>
      <c r="K93" s="119"/>
      <c r="L93" s="98"/>
      <c r="M93" s="101"/>
      <c r="O93" s="100"/>
      <c r="P93" s="119" t="str">
        <f>IF('Temperature in bundle'!$P$4="Current = 1A per pair",2,IF($A93="","",('Temperature in bundle'!$Q$6-('Temperature in bundle'!$Q$6^2-4*(O93+Q$7)*'Temperature in bundle'!$Q$7)^0.5)/2/(O93+Q$7)))</f>
        <v/>
      </c>
      <c r="Q93" s="98"/>
      <c r="R93" s="101"/>
      <c r="T93" s="100"/>
      <c r="U93" s="119" t="str">
        <f>IF('Temperature in bundle'!$P$4="Current = 1A per pair",2,IF($A93="","",('Temperature in bundle'!$Q$6-('Temperature in bundle'!$Q$6^2-4*(T93+V$7)*'Temperature in bundle'!$Q$7)^0.5)/2/(T93+V$7)))</f>
        <v/>
      </c>
      <c r="V93" s="98"/>
      <c r="W93" s="101"/>
      <c r="Y93" s="100"/>
      <c r="Z93" s="119" t="str">
        <f>IF('Temperature in bundle'!$P$4="Current = 1A per pair",2,IF($A93="","",('Temperature in bundle'!$Q$6-('Temperature in bundle'!$Q$6^2-4*(Y93+AA$7)*'Temperature in bundle'!$Q$7)^0.5)/2/(Y93+AA$7)))</f>
        <v/>
      </c>
      <c r="AA93" s="98"/>
      <c r="AB93" s="101"/>
    </row>
    <row r="94" spans="2:28">
      <c r="B94" s="113"/>
      <c r="C94" s="113"/>
      <c r="D94" s="113"/>
      <c r="E94" s="113"/>
      <c r="F94" s="113"/>
      <c r="G94" s="113"/>
      <c r="J94" s="116"/>
      <c r="K94" s="119"/>
      <c r="L94" s="98"/>
      <c r="M94" s="101"/>
      <c r="O94" s="100"/>
      <c r="P94" s="119" t="str">
        <f>IF('Temperature in bundle'!$P$4="Current = 1A per pair",2,IF($A94="","",('Temperature in bundle'!$Q$6-('Temperature in bundle'!$Q$6^2-4*(O94+Q$7)*'Temperature in bundle'!$Q$7)^0.5)/2/(O94+Q$7)))</f>
        <v/>
      </c>
      <c r="Q94" s="98"/>
      <c r="R94" s="101"/>
      <c r="T94" s="100"/>
      <c r="U94" s="119" t="str">
        <f>IF('Temperature in bundle'!$P$4="Current = 1A per pair",2,IF($A94="","",('Temperature in bundle'!$Q$6-('Temperature in bundle'!$Q$6^2-4*(T94+V$7)*'Temperature in bundle'!$Q$7)^0.5)/2/(T94+V$7)))</f>
        <v/>
      </c>
      <c r="V94" s="98"/>
      <c r="W94" s="101"/>
      <c r="Y94" s="100"/>
      <c r="Z94" s="119" t="str">
        <f>IF('Temperature in bundle'!$P$4="Current = 1A per pair",2,IF($A94="","",('Temperature in bundle'!$Q$6-('Temperature in bundle'!$Q$6^2-4*(Y94+AA$7)*'Temperature in bundle'!$Q$7)^0.5)/2/(Y94+AA$7)))</f>
        <v/>
      </c>
      <c r="AA94" s="98"/>
      <c r="AB94" s="101"/>
    </row>
    <row r="95" spans="2:28">
      <c r="B95" s="113"/>
      <c r="C95" s="113"/>
      <c r="D95" s="113"/>
      <c r="E95" s="113"/>
      <c r="F95" s="113"/>
      <c r="G95" s="113"/>
      <c r="J95" s="116"/>
      <c r="K95" s="119"/>
      <c r="L95" s="98"/>
      <c r="M95" s="101"/>
      <c r="O95" s="100"/>
      <c r="P95" s="119" t="str">
        <f>IF('Temperature in bundle'!$P$4="Current = 1A per pair",2,IF($A95="","",('Temperature in bundle'!$Q$6-('Temperature in bundle'!$Q$6^2-4*(O95+Q$7)*'Temperature in bundle'!$Q$7)^0.5)/2/(O95+Q$7)))</f>
        <v/>
      </c>
      <c r="Q95" s="98"/>
      <c r="R95" s="101"/>
      <c r="T95" s="100"/>
      <c r="U95" s="119" t="str">
        <f>IF('Temperature in bundle'!$P$4="Current = 1A per pair",2,IF($A95="","",('Temperature in bundle'!$Q$6-('Temperature in bundle'!$Q$6^2-4*(T95+V$7)*'Temperature in bundle'!$Q$7)^0.5)/2/(T95+V$7)))</f>
        <v/>
      </c>
      <c r="V95" s="98"/>
      <c r="W95" s="101"/>
      <c r="Y95" s="100"/>
      <c r="Z95" s="119" t="str">
        <f>IF('Temperature in bundle'!$P$4="Current = 1A per pair",2,IF($A95="","",('Temperature in bundle'!$Q$6-('Temperature in bundle'!$Q$6^2-4*(Y95+AA$7)*'Temperature in bundle'!$Q$7)^0.5)/2/(Y95+AA$7)))</f>
        <v/>
      </c>
      <c r="AA95" s="98"/>
      <c r="AB95" s="101"/>
    </row>
    <row r="96" spans="2:28">
      <c r="B96" s="113"/>
      <c r="C96" s="113"/>
      <c r="D96" s="113"/>
      <c r="E96" s="113"/>
      <c r="F96" s="113"/>
      <c r="G96" s="113"/>
      <c r="J96" s="116"/>
      <c r="K96" s="119"/>
      <c r="L96" s="98"/>
      <c r="M96" s="101"/>
      <c r="O96" s="100"/>
      <c r="P96" s="119" t="str">
        <f>IF('Temperature in bundle'!$P$4="Current = 1A per pair",2,IF($A96="","",('Temperature in bundle'!$Q$6-('Temperature in bundle'!$Q$6^2-4*(O96+Q$7)*'Temperature in bundle'!$Q$7)^0.5)/2/(O96+Q$7)))</f>
        <v/>
      </c>
      <c r="Q96" s="98"/>
      <c r="R96" s="101"/>
      <c r="T96" s="100"/>
      <c r="U96" s="119" t="str">
        <f>IF('Temperature in bundle'!$P$4="Current = 1A per pair",2,IF($A96="","",('Temperature in bundle'!$Q$6-('Temperature in bundle'!$Q$6^2-4*(T96+V$7)*'Temperature in bundle'!$Q$7)^0.5)/2/(T96+V$7)))</f>
        <v/>
      </c>
      <c r="V96" s="98"/>
      <c r="W96" s="101"/>
      <c r="Y96" s="100"/>
      <c r="Z96" s="119" t="str">
        <f>IF('Temperature in bundle'!$P$4="Current = 1A per pair",2,IF($A96="","",('Temperature in bundle'!$Q$6-('Temperature in bundle'!$Q$6^2-4*(Y96+AA$7)*'Temperature in bundle'!$Q$7)^0.5)/2/(Y96+AA$7)))</f>
        <v/>
      </c>
      <c r="AA96" s="98"/>
      <c r="AB96" s="101"/>
    </row>
    <row r="97" spans="2:28">
      <c r="B97" s="113"/>
      <c r="C97" s="113"/>
      <c r="D97" s="113"/>
      <c r="E97" s="113"/>
      <c r="F97" s="113"/>
      <c r="G97" s="113"/>
      <c r="J97" s="116"/>
      <c r="K97" s="119"/>
      <c r="L97" s="98"/>
      <c r="M97" s="101"/>
      <c r="O97" s="100"/>
      <c r="P97" s="119" t="str">
        <f>IF('Temperature in bundle'!$P$4="Current = 1A per pair",2,IF($A97="","",('Temperature in bundle'!$Q$6-('Temperature in bundle'!$Q$6^2-4*(O97+Q$7)*'Temperature in bundle'!$Q$7)^0.5)/2/(O97+Q$7)))</f>
        <v/>
      </c>
      <c r="Q97" s="98"/>
      <c r="R97" s="101"/>
      <c r="T97" s="100"/>
      <c r="U97" s="119" t="str">
        <f>IF('Temperature in bundle'!$P$4="Current = 1A per pair",2,IF($A97="","",('Temperature in bundle'!$Q$6-('Temperature in bundle'!$Q$6^2-4*(T97+V$7)*'Temperature in bundle'!$Q$7)^0.5)/2/(T97+V$7)))</f>
        <v/>
      </c>
      <c r="V97" s="98"/>
      <c r="W97" s="101"/>
      <c r="Y97" s="100"/>
      <c r="Z97" s="119" t="str">
        <f>IF('Temperature in bundle'!$P$4="Current = 1A per pair",2,IF($A97="","",('Temperature in bundle'!$Q$6-('Temperature in bundle'!$Q$6^2-4*(Y97+AA$7)*'Temperature in bundle'!$Q$7)^0.5)/2/(Y97+AA$7)))</f>
        <v/>
      </c>
      <c r="AA97" s="98"/>
      <c r="AB97" s="101"/>
    </row>
    <row r="98" spans="2:28">
      <c r="B98" s="113"/>
      <c r="C98" s="113"/>
      <c r="D98" s="113"/>
      <c r="E98" s="113"/>
      <c r="F98" s="113"/>
      <c r="G98" s="113"/>
      <c r="J98" s="116"/>
      <c r="K98" s="119"/>
      <c r="L98" s="98"/>
      <c r="M98" s="101"/>
      <c r="O98" s="100"/>
      <c r="P98" s="119" t="str">
        <f>IF('Temperature in bundle'!$P$4="Current = 1A per pair",2,IF($A98="","",('Temperature in bundle'!$Q$6-('Temperature in bundle'!$Q$6^2-4*(O98+Q$7)*'Temperature in bundle'!$Q$7)^0.5)/2/(O98+Q$7)))</f>
        <v/>
      </c>
      <c r="Q98" s="98"/>
      <c r="R98" s="101"/>
      <c r="T98" s="100"/>
      <c r="U98" s="119" t="str">
        <f>IF('Temperature in bundle'!$P$4="Current = 1A per pair",2,IF($A98="","",('Temperature in bundle'!$Q$6-('Temperature in bundle'!$Q$6^2-4*(T98+V$7)*'Temperature in bundle'!$Q$7)^0.5)/2/(T98+V$7)))</f>
        <v/>
      </c>
      <c r="V98" s="98"/>
      <c r="W98" s="101"/>
      <c r="Y98" s="100"/>
      <c r="Z98" s="119" t="str">
        <f>IF('Temperature in bundle'!$P$4="Current = 1A per pair",2,IF($A98="","",('Temperature in bundle'!$Q$6-('Temperature in bundle'!$Q$6^2-4*(Y98+AA$7)*'Temperature in bundle'!$Q$7)^0.5)/2/(Y98+AA$7)))</f>
        <v/>
      </c>
      <c r="AA98" s="98"/>
      <c r="AB98" s="101"/>
    </row>
    <row r="99" spans="2:28">
      <c r="B99" s="113"/>
      <c r="C99" s="113"/>
      <c r="D99" s="113"/>
      <c r="E99" s="113"/>
      <c r="F99" s="113"/>
      <c r="G99" s="113"/>
      <c r="J99" s="116"/>
      <c r="K99" s="119"/>
      <c r="L99" s="98"/>
      <c r="M99" s="101"/>
      <c r="O99" s="100"/>
      <c r="P99" s="119" t="str">
        <f>IF('Temperature in bundle'!$P$4="Current = 1A per pair",2,IF($A99="","",('Temperature in bundle'!$Q$6-('Temperature in bundle'!$Q$6^2-4*(O99+Q$7)*'Temperature in bundle'!$Q$7)^0.5)/2/(O99+Q$7)))</f>
        <v/>
      </c>
      <c r="Q99" s="98"/>
      <c r="R99" s="101"/>
      <c r="T99" s="100"/>
      <c r="U99" s="119" t="str">
        <f>IF('Temperature in bundle'!$P$4="Current = 1A per pair",2,IF($A99="","",('Temperature in bundle'!$Q$6-('Temperature in bundle'!$Q$6^2-4*(T99+V$7)*'Temperature in bundle'!$Q$7)^0.5)/2/(T99+V$7)))</f>
        <v/>
      </c>
      <c r="V99" s="98"/>
      <c r="W99" s="101"/>
      <c r="Y99" s="100"/>
      <c r="Z99" s="119" t="str">
        <f>IF('Temperature in bundle'!$P$4="Current = 1A per pair",2,IF($A99="","",('Temperature in bundle'!$Q$6-('Temperature in bundle'!$Q$6^2-4*(Y99+AA$7)*'Temperature in bundle'!$Q$7)^0.5)/2/(Y99+AA$7)))</f>
        <v/>
      </c>
      <c r="AA99" s="98"/>
      <c r="AB99" s="101"/>
    </row>
    <row r="100" spans="2:28">
      <c r="B100" s="113"/>
      <c r="C100" s="113"/>
      <c r="D100" s="113"/>
      <c r="E100" s="113"/>
      <c r="F100" s="113"/>
      <c r="G100" s="113"/>
      <c r="J100" s="116"/>
      <c r="K100" s="119"/>
      <c r="L100" s="98"/>
      <c r="M100" s="101"/>
      <c r="O100" s="100"/>
      <c r="P100" s="119" t="str">
        <f>IF('Temperature in bundle'!$P$4="Current = 1A per pair",2,IF($A100="","",('Temperature in bundle'!$Q$6-('Temperature in bundle'!$Q$6^2-4*(O100+Q$7)*'Temperature in bundle'!$Q$7)^0.5)/2/(O100+Q$7)))</f>
        <v/>
      </c>
      <c r="Q100" s="98"/>
      <c r="R100" s="101"/>
      <c r="T100" s="100"/>
      <c r="U100" s="119" t="str">
        <f>IF('Temperature in bundle'!$P$4="Current = 1A per pair",2,IF($A100="","",('Temperature in bundle'!$Q$6-('Temperature in bundle'!$Q$6^2-4*(T100+V$7)*'Temperature in bundle'!$Q$7)^0.5)/2/(T100+V$7)))</f>
        <v/>
      </c>
      <c r="V100" s="98"/>
      <c r="W100" s="101"/>
      <c r="Y100" s="100"/>
      <c r="Z100" s="119" t="str">
        <f>IF('Temperature in bundle'!$P$4="Current = 1A per pair",2,IF($A100="","",('Temperature in bundle'!$Q$6-('Temperature in bundle'!$Q$6^2-4*(Y100+AA$7)*'Temperature in bundle'!$Q$7)^0.5)/2/(Y100+AA$7)))</f>
        <v/>
      </c>
      <c r="AA100" s="98"/>
      <c r="AB100" s="101"/>
    </row>
    <row r="101" spans="2:28">
      <c r="B101" s="113"/>
      <c r="C101" s="113"/>
      <c r="D101" s="113"/>
      <c r="E101" s="113"/>
      <c r="F101" s="113"/>
      <c r="G101" s="113"/>
      <c r="J101" s="116"/>
      <c r="K101" s="119"/>
      <c r="L101" s="98"/>
      <c r="M101" s="101"/>
      <c r="O101" s="100"/>
      <c r="P101" s="119" t="str">
        <f>IF('Temperature in bundle'!$P$4="Current = 1A per pair",2,IF($A101="","",('Temperature in bundle'!$Q$6-('Temperature in bundle'!$Q$6^2-4*(O101+Q$7)*'Temperature in bundle'!$Q$7)^0.5)/2/(O101+Q$7)))</f>
        <v/>
      </c>
      <c r="Q101" s="98"/>
      <c r="R101" s="101"/>
      <c r="T101" s="100"/>
      <c r="U101" s="119" t="str">
        <f>IF('Temperature in bundle'!$P$4="Current = 1A per pair",2,IF($A101="","",('Temperature in bundle'!$Q$6-('Temperature in bundle'!$Q$6^2-4*(T101+V$7)*'Temperature in bundle'!$Q$7)^0.5)/2/(T101+V$7)))</f>
        <v/>
      </c>
      <c r="V101" s="98"/>
      <c r="W101" s="101"/>
      <c r="Y101" s="100"/>
      <c r="Z101" s="119" t="str">
        <f>IF('Temperature in bundle'!$P$4="Current = 1A per pair",2,IF($A101="","",('Temperature in bundle'!$Q$6-('Temperature in bundle'!$Q$6^2-4*(Y101+AA$7)*'Temperature in bundle'!$Q$7)^0.5)/2/(Y101+AA$7)))</f>
        <v/>
      </c>
      <c r="AA101" s="98"/>
      <c r="AB101" s="101"/>
    </row>
    <row r="102" spans="2:28">
      <c r="B102" s="113"/>
      <c r="C102" s="113"/>
      <c r="D102" s="113"/>
      <c r="E102" s="113"/>
      <c r="F102" s="113"/>
      <c r="G102" s="113"/>
      <c r="J102" s="116"/>
      <c r="K102" s="119"/>
      <c r="L102" s="98"/>
      <c r="M102" s="101"/>
      <c r="O102" s="100"/>
      <c r="P102" s="119" t="str">
        <f>IF('Temperature in bundle'!$P$4="Current = 1A per pair",2,IF($A102="","",('Temperature in bundle'!$Q$6-('Temperature in bundle'!$Q$6^2-4*(O102+Q$7)*'Temperature in bundle'!$Q$7)^0.5)/2/(O102+Q$7)))</f>
        <v/>
      </c>
      <c r="Q102" s="98"/>
      <c r="R102" s="101"/>
      <c r="T102" s="100"/>
      <c r="U102" s="119" t="str">
        <f>IF('Temperature in bundle'!$P$4="Current = 1A per pair",2,IF($A102="","",('Temperature in bundle'!$Q$6-('Temperature in bundle'!$Q$6^2-4*(T102+V$7)*'Temperature in bundle'!$Q$7)^0.5)/2/(T102+V$7)))</f>
        <v/>
      </c>
      <c r="V102" s="98"/>
      <c r="W102" s="101"/>
      <c r="Y102" s="100"/>
      <c r="Z102" s="119" t="str">
        <f>IF('Temperature in bundle'!$P$4="Current = 1A per pair",2,IF($A102="","",('Temperature in bundle'!$Q$6-('Temperature in bundle'!$Q$6^2-4*(Y102+AA$7)*'Temperature in bundle'!$Q$7)^0.5)/2/(Y102+AA$7)))</f>
        <v/>
      </c>
      <c r="AA102" s="98"/>
      <c r="AB102" s="101"/>
    </row>
    <row r="103" spans="2:28">
      <c r="B103" s="113"/>
      <c r="C103" s="113"/>
      <c r="D103" s="113"/>
      <c r="E103" s="113"/>
      <c r="F103" s="113"/>
      <c r="G103" s="113"/>
      <c r="J103" s="116"/>
      <c r="K103" s="119"/>
      <c r="L103" s="98"/>
      <c r="M103" s="101"/>
      <c r="O103" s="100"/>
      <c r="P103" s="119" t="str">
        <f>IF('Temperature in bundle'!$P$4="Current = 1A per pair",2,IF($A103="","",('Temperature in bundle'!$Q$6-('Temperature in bundle'!$Q$6^2-4*(O103+Q$7)*'Temperature in bundle'!$Q$7)^0.5)/2/(O103+Q$7)))</f>
        <v/>
      </c>
      <c r="Q103" s="98"/>
      <c r="R103" s="101"/>
      <c r="T103" s="100"/>
      <c r="U103" s="119" t="str">
        <f>IF('Temperature in bundle'!$P$4="Current = 1A per pair",2,IF($A103="","",('Temperature in bundle'!$Q$6-('Temperature in bundle'!$Q$6^2-4*(T103+V$7)*'Temperature in bundle'!$Q$7)^0.5)/2/(T103+V$7)))</f>
        <v/>
      </c>
      <c r="V103" s="98"/>
      <c r="W103" s="101"/>
      <c r="Y103" s="100"/>
      <c r="Z103" s="119" t="str">
        <f>IF('Temperature in bundle'!$P$4="Current = 1A per pair",2,IF($A103="","",('Temperature in bundle'!$Q$6-('Temperature in bundle'!$Q$6^2-4*(Y103+AA$7)*'Temperature in bundle'!$Q$7)^0.5)/2/(Y103+AA$7)))</f>
        <v/>
      </c>
      <c r="AA103" s="98"/>
      <c r="AB103" s="101"/>
    </row>
    <row r="104" spans="2:28">
      <c r="B104" s="113"/>
      <c r="C104" s="113"/>
      <c r="D104" s="113"/>
      <c r="E104" s="113"/>
      <c r="F104" s="113"/>
      <c r="G104" s="113"/>
      <c r="J104" s="116"/>
      <c r="K104" s="119"/>
      <c r="L104" s="98"/>
      <c r="M104" s="101"/>
      <c r="O104" s="100"/>
      <c r="P104" s="119" t="str">
        <f>IF('Temperature in bundle'!$P$4="Current = 1A per pair",2,IF($A104="","",('Temperature in bundle'!$Q$6-('Temperature in bundle'!$Q$6^2-4*(O104+Q$7)*'Temperature in bundle'!$Q$7)^0.5)/2/(O104+Q$7)))</f>
        <v/>
      </c>
      <c r="Q104" s="98"/>
      <c r="R104" s="101"/>
      <c r="T104" s="100"/>
      <c r="U104" s="119" t="str">
        <f>IF('Temperature in bundle'!$P$4="Current = 1A per pair",2,IF($A104="","",('Temperature in bundle'!$Q$6-('Temperature in bundle'!$Q$6^2-4*(T104+V$7)*'Temperature in bundle'!$Q$7)^0.5)/2/(T104+V$7)))</f>
        <v/>
      </c>
      <c r="V104" s="98"/>
      <c r="W104" s="101"/>
      <c r="Y104" s="100"/>
      <c r="Z104" s="119" t="str">
        <f>IF('Temperature in bundle'!$P$4="Current = 1A per pair",2,IF($A104="","",('Temperature in bundle'!$Q$6-('Temperature in bundle'!$Q$6^2-4*(Y104+AA$7)*'Temperature in bundle'!$Q$7)^0.5)/2/(Y104+AA$7)))</f>
        <v/>
      </c>
      <c r="AA104" s="98"/>
      <c r="AB104" s="101"/>
    </row>
    <row r="105" spans="2:28">
      <c r="B105" s="113"/>
      <c r="C105" s="113"/>
      <c r="D105" s="113"/>
      <c r="E105" s="113"/>
      <c r="F105" s="113"/>
      <c r="G105" s="113"/>
      <c r="J105" s="116"/>
      <c r="K105" s="119"/>
      <c r="L105" s="98"/>
      <c r="M105" s="101"/>
      <c r="O105" s="100"/>
      <c r="P105" s="119" t="str">
        <f>IF('Temperature in bundle'!$P$4="Current = 1A per pair",2,IF($A105="","",('Temperature in bundle'!$Q$6-('Temperature in bundle'!$Q$6^2-4*(O105+Q$7)*'Temperature in bundle'!$Q$7)^0.5)/2/(O105+Q$7)))</f>
        <v/>
      </c>
      <c r="Q105" s="98"/>
      <c r="R105" s="101"/>
      <c r="T105" s="100"/>
      <c r="U105" s="119" t="str">
        <f>IF('Temperature in bundle'!$P$4="Current = 1A per pair",2,IF($A105="","",('Temperature in bundle'!$Q$6-('Temperature in bundle'!$Q$6^2-4*(T105+V$7)*'Temperature in bundle'!$Q$7)^0.5)/2/(T105+V$7)))</f>
        <v/>
      </c>
      <c r="V105" s="98"/>
      <c r="W105" s="101"/>
      <c r="Y105" s="100"/>
      <c r="Z105" s="119" t="str">
        <f>IF('Temperature in bundle'!$P$4="Current = 1A per pair",2,IF($A105="","",('Temperature in bundle'!$Q$6-('Temperature in bundle'!$Q$6^2-4*(Y105+AA$7)*'Temperature in bundle'!$Q$7)^0.5)/2/(Y105+AA$7)))</f>
        <v/>
      </c>
      <c r="AA105" s="98"/>
      <c r="AB105" s="101"/>
    </row>
    <row r="106" spans="2:28">
      <c r="B106" s="113"/>
      <c r="C106" s="113"/>
      <c r="D106" s="113"/>
      <c r="E106" s="113"/>
      <c r="F106" s="113"/>
      <c r="G106" s="113"/>
      <c r="J106" s="116"/>
      <c r="K106" s="119"/>
      <c r="L106" s="98"/>
      <c r="M106" s="101"/>
      <c r="O106" s="100"/>
      <c r="P106" s="119" t="str">
        <f>IF('Temperature in bundle'!$P$4="Current = 1A per pair",2,IF($A106="","",('Temperature in bundle'!$Q$6-('Temperature in bundle'!$Q$6^2-4*(O106+Q$7)*'Temperature in bundle'!$Q$7)^0.5)/2/(O106+Q$7)))</f>
        <v/>
      </c>
      <c r="Q106" s="98"/>
      <c r="R106" s="101"/>
      <c r="T106" s="100"/>
      <c r="U106" s="119" t="str">
        <f>IF('Temperature in bundle'!$P$4="Current = 1A per pair",2,IF($A106="","",('Temperature in bundle'!$Q$6-('Temperature in bundle'!$Q$6^2-4*(T106+V$7)*'Temperature in bundle'!$Q$7)^0.5)/2/(T106+V$7)))</f>
        <v/>
      </c>
      <c r="V106" s="98"/>
      <c r="W106" s="101"/>
      <c r="Y106" s="100"/>
      <c r="Z106" s="119" t="str">
        <f>IF('Temperature in bundle'!$P$4="Current = 1A per pair",2,IF($A106="","",('Temperature in bundle'!$Q$6-('Temperature in bundle'!$Q$6^2-4*(Y106+AA$7)*'Temperature in bundle'!$Q$7)^0.5)/2/(Y106+AA$7)))</f>
        <v/>
      </c>
      <c r="AA106" s="98"/>
      <c r="AB106" s="101"/>
    </row>
    <row r="107" spans="2:28">
      <c r="B107" s="113"/>
      <c r="C107" s="113"/>
      <c r="D107" s="113"/>
      <c r="E107" s="113"/>
      <c r="F107" s="113"/>
      <c r="G107" s="113"/>
      <c r="J107" s="116"/>
      <c r="K107" s="119"/>
      <c r="L107" s="98"/>
      <c r="M107" s="101"/>
      <c r="O107" s="100"/>
      <c r="P107" s="119" t="str">
        <f>IF('Temperature in bundle'!$P$4="Current = 1A per pair",2,IF($A107="","",('Temperature in bundle'!$Q$6-('Temperature in bundle'!$Q$6^2-4*(O107+Q$7)*'Temperature in bundle'!$Q$7)^0.5)/2/(O107+Q$7)))</f>
        <v/>
      </c>
      <c r="Q107" s="98"/>
      <c r="R107" s="101"/>
      <c r="T107" s="100"/>
      <c r="U107" s="119" t="str">
        <f>IF('Temperature in bundle'!$P$4="Current = 1A per pair",2,IF($A107="","",('Temperature in bundle'!$Q$6-('Temperature in bundle'!$Q$6^2-4*(T107+V$7)*'Temperature in bundle'!$Q$7)^0.5)/2/(T107+V$7)))</f>
        <v/>
      </c>
      <c r="V107" s="98"/>
      <c r="W107" s="101"/>
      <c r="Y107" s="100"/>
      <c r="Z107" s="119" t="str">
        <f>IF('Temperature in bundle'!$P$4="Current = 1A per pair",2,IF($A107="","",('Temperature in bundle'!$Q$6-('Temperature in bundle'!$Q$6^2-4*(Y107+AA$7)*'Temperature in bundle'!$Q$7)^0.5)/2/(Y107+AA$7)))</f>
        <v/>
      </c>
      <c r="AA107" s="98"/>
      <c r="AB107" s="101"/>
    </row>
    <row r="108" spans="2:28">
      <c r="B108" s="113"/>
      <c r="C108" s="113"/>
      <c r="D108" s="113"/>
      <c r="E108" s="113"/>
      <c r="F108" s="113"/>
      <c r="G108" s="113"/>
      <c r="J108" s="116"/>
      <c r="K108" s="119"/>
      <c r="L108" s="98"/>
      <c r="M108" s="101"/>
      <c r="O108" s="100"/>
      <c r="P108" s="119" t="str">
        <f>IF('Temperature in bundle'!$P$4="Current = 1A per pair",2,IF($A108="","",('Temperature in bundle'!$Q$6-('Temperature in bundle'!$Q$6^2-4*(O108+Q$7)*'Temperature in bundle'!$Q$7)^0.5)/2/(O108+Q$7)))</f>
        <v/>
      </c>
      <c r="Q108" s="98"/>
      <c r="R108" s="101"/>
      <c r="T108" s="100"/>
      <c r="U108" s="119" t="str">
        <f>IF('Temperature in bundle'!$P$4="Current = 1A per pair",2,IF($A108="","",('Temperature in bundle'!$Q$6-('Temperature in bundle'!$Q$6^2-4*(T108+V$7)*'Temperature in bundle'!$Q$7)^0.5)/2/(T108+V$7)))</f>
        <v/>
      </c>
      <c r="V108" s="98"/>
      <c r="W108" s="101"/>
      <c r="Y108" s="100"/>
      <c r="Z108" s="119" t="str">
        <f>IF('Temperature in bundle'!$P$4="Current = 1A per pair",2,IF($A108="","",('Temperature in bundle'!$Q$6-('Temperature in bundle'!$Q$6^2-4*(Y108+AA$7)*'Temperature in bundle'!$Q$7)^0.5)/2/(Y108+AA$7)))</f>
        <v/>
      </c>
      <c r="AA108" s="98"/>
      <c r="AB108" s="101"/>
    </row>
    <row r="109" spans="2:28">
      <c r="B109" s="113"/>
      <c r="C109" s="113"/>
      <c r="D109" s="113"/>
      <c r="E109" s="113"/>
      <c r="F109" s="113"/>
      <c r="G109" s="113"/>
      <c r="J109" s="116"/>
      <c r="K109" s="119"/>
      <c r="L109" s="98"/>
      <c r="M109" s="101"/>
      <c r="O109" s="100"/>
      <c r="P109" s="119" t="str">
        <f>IF('Temperature in bundle'!$P$4="Current = 1A per pair",2,IF($A109="","",('Temperature in bundle'!$Q$6-('Temperature in bundle'!$Q$6^2-4*(O109+Q$7)*'Temperature in bundle'!$Q$7)^0.5)/2/(O109+Q$7)))</f>
        <v/>
      </c>
      <c r="Q109" s="98"/>
      <c r="R109" s="101"/>
      <c r="T109" s="100"/>
      <c r="U109" s="119" t="str">
        <f>IF('Temperature in bundle'!$P$4="Current = 1A per pair",2,IF($A109="","",('Temperature in bundle'!$Q$6-('Temperature in bundle'!$Q$6^2-4*(T109+V$7)*'Temperature in bundle'!$Q$7)^0.5)/2/(T109+V$7)))</f>
        <v/>
      </c>
      <c r="V109" s="98"/>
      <c r="W109" s="101"/>
      <c r="Y109" s="100"/>
      <c r="Z109" s="119" t="str">
        <f>IF('Temperature in bundle'!$P$4="Current = 1A per pair",2,IF($A109="","",('Temperature in bundle'!$Q$6-('Temperature in bundle'!$Q$6^2-4*(Y109+AA$7)*'Temperature in bundle'!$Q$7)^0.5)/2/(Y109+AA$7)))</f>
        <v/>
      </c>
      <c r="AA109" s="98"/>
      <c r="AB109" s="101"/>
    </row>
    <row r="110" spans="2:28">
      <c r="B110" s="113"/>
      <c r="C110" s="113"/>
      <c r="D110" s="113"/>
      <c r="E110" s="113"/>
      <c r="F110" s="113"/>
      <c r="G110" s="113"/>
      <c r="J110" s="116"/>
      <c r="K110" s="119"/>
      <c r="L110" s="98"/>
      <c r="M110" s="101"/>
      <c r="O110" s="100"/>
      <c r="P110" s="119" t="str">
        <f>IF('Temperature in bundle'!$P$4="Current = 1A per pair",2,IF($A110="","",('Temperature in bundle'!$Q$6-('Temperature in bundle'!$Q$6^2-4*(O110+Q$7)*'Temperature in bundle'!$Q$7)^0.5)/2/(O110+Q$7)))</f>
        <v/>
      </c>
      <c r="Q110" s="98"/>
      <c r="R110" s="101"/>
      <c r="T110" s="100"/>
      <c r="U110" s="119" t="str">
        <f>IF('Temperature in bundle'!$P$4="Current = 1A per pair",2,IF($A110="","",('Temperature in bundle'!$Q$6-('Temperature in bundle'!$Q$6^2-4*(T110+V$7)*'Temperature in bundle'!$Q$7)^0.5)/2/(T110+V$7)))</f>
        <v/>
      </c>
      <c r="V110" s="98"/>
      <c r="W110" s="101"/>
      <c r="Y110" s="100"/>
      <c r="Z110" s="119" t="str">
        <f>IF('Temperature in bundle'!$P$4="Current = 1A per pair",2,IF($A110="","",('Temperature in bundle'!$Q$6-('Temperature in bundle'!$Q$6^2-4*(Y110+AA$7)*'Temperature in bundle'!$Q$7)^0.5)/2/(Y110+AA$7)))</f>
        <v/>
      </c>
      <c r="AA110" s="98"/>
      <c r="AB110" s="101"/>
    </row>
    <row r="111" spans="2:28">
      <c r="B111" s="113"/>
      <c r="C111" s="113"/>
      <c r="D111" s="113"/>
      <c r="E111" s="113"/>
      <c r="F111" s="113"/>
      <c r="G111" s="113"/>
      <c r="J111" s="116"/>
      <c r="K111" s="119"/>
      <c r="L111" s="98"/>
      <c r="M111" s="101"/>
      <c r="O111" s="100"/>
      <c r="P111" s="119" t="str">
        <f>IF('Temperature in bundle'!$P$4="Current = 1A per pair",2,IF($A111="","",('Temperature in bundle'!$Q$6-('Temperature in bundle'!$Q$6^2-4*(O111+Q$7)*'Temperature in bundle'!$Q$7)^0.5)/2/(O111+Q$7)))</f>
        <v/>
      </c>
      <c r="Q111" s="98"/>
      <c r="R111" s="101"/>
      <c r="T111" s="100"/>
      <c r="U111" s="119" t="str">
        <f>IF('Temperature in bundle'!$P$4="Current = 1A per pair",2,IF($A111="","",('Temperature in bundle'!$Q$6-('Temperature in bundle'!$Q$6^2-4*(T111+V$7)*'Temperature in bundle'!$Q$7)^0.5)/2/(T111+V$7)))</f>
        <v/>
      </c>
      <c r="V111" s="98"/>
      <c r="W111" s="101"/>
      <c r="Y111" s="100"/>
      <c r="Z111" s="119" t="str">
        <f>IF('Temperature in bundle'!$P$4="Current = 1A per pair",2,IF($A111="","",('Temperature in bundle'!$Q$6-('Temperature in bundle'!$Q$6^2-4*(Y111+AA$7)*'Temperature in bundle'!$Q$7)^0.5)/2/(Y111+AA$7)))</f>
        <v/>
      </c>
      <c r="AA111" s="98"/>
      <c r="AB111" s="101"/>
    </row>
    <row r="112" spans="2:28">
      <c r="B112" s="113"/>
      <c r="C112" s="113"/>
      <c r="D112" s="113"/>
      <c r="E112" s="113"/>
      <c r="F112" s="113"/>
      <c r="G112" s="113"/>
      <c r="J112" s="116"/>
      <c r="K112" s="119"/>
      <c r="L112" s="98"/>
      <c r="M112" s="101"/>
      <c r="O112" s="100"/>
      <c r="P112" s="119" t="str">
        <f>IF('Temperature in bundle'!$P$4="Current = 1A per pair",2,IF($A112="","",('Temperature in bundle'!$Q$6-('Temperature in bundle'!$Q$6^2-4*(O112+Q$7)*'Temperature in bundle'!$Q$7)^0.5)/2/(O112+Q$7)))</f>
        <v/>
      </c>
      <c r="Q112" s="98"/>
      <c r="R112" s="101"/>
      <c r="T112" s="100"/>
      <c r="U112" s="119" t="str">
        <f>IF('Temperature in bundle'!$P$4="Current = 1A per pair",2,IF($A112="","",('Temperature in bundle'!$Q$6-('Temperature in bundle'!$Q$6^2-4*(T112+V$7)*'Temperature in bundle'!$Q$7)^0.5)/2/(T112+V$7)))</f>
        <v/>
      </c>
      <c r="V112" s="98"/>
      <c r="W112" s="101"/>
      <c r="Y112" s="100"/>
      <c r="Z112" s="119" t="str">
        <f>IF('Temperature in bundle'!$P$4="Current = 1A per pair",2,IF($A112="","",('Temperature in bundle'!$Q$6-('Temperature in bundle'!$Q$6^2-4*(Y112+AA$7)*'Temperature in bundle'!$Q$7)^0.5)/2/(Y112+AA$7)))</f>
        <v/>
      </c>
      <c r="AA112" s="98"/>
      <c r="AB112" s="101"/>
    </row>
    <row r="113" spans="2:28">
      <c r="B113" s="113"/>
      <c r="C113" s="113"/>
      <c r="D113" s="113"/>
      <c r="E113" s="113"/>
      <c r="F113" s="113"/>
      <c r="G113" s="113"/>
      <c r="J113" s="116"/>
      <c r="K113" s="119"/>
      <c r="L113" s="98"/>
      <c r="M113" s="101"/>
      <c r="O113" s="100"/>
      <c r="P113" s="119" t="str">
        <f>IF('Temperature in bundle'!$P$4="Current = 1A per pair",2,IF($A113="","",('Temperature in bundle'!$Q$6-('Temperature in bundle'!$Q$6^2-4*(O113+Q$7)*'Temperature in bundle'!$Q$7)^0.5)/2/(O113+Q$7)))</f>
        <v/>
      </c>
      <c r="Q113" s="98"/>
      <c r="R113" s="101"/>
      <c r="T113" s="100"/>
      <c r="U113" s="119" t="str">
        <f>IF('Temperature in bundle'!$P$4="Current = 1A per pair",2,IF($A113="","",('Temperature in bundle'!$Q$6-('Temperature in bundle'!$Q$6^2-4*(T113+V$7)*'Temperature in bundle'!$Q$7)^0.5)/2/(T113+V$7)))</f>
        <v/>
      </c>
      <c r="V113" s="98"/>
      <c r="W113" s="101"/>
      <c r="Y113" s="100"/>
      <c r="Z113" s="119" t="str">
        <f>IF('Temperature in bundle'!$P$4="Current = 1A per pair",2,IF($A113="","",('Temperature in bundle'!$Q$6-('Temperature in bundle'!$Q$6^2-4*(Y113+AA$7)*'Temperature in bundle'!$Q$7)^0.5)/2/(Y113+AA$7)))</f>
        <v/>
      </c>
      <c r="AA113" s="98"/>
      <c r="AB113" s="101"/>
    </row>
    <row r="114" spans="2:28">
      <c r="B114" s="113"/>
      <c r="C114" s="113"/>
      <c r="D114" s="113"/>
      <c r="E114" s="113"/>
      <c r="F114" s="113"/>
      <c r="G114" s="113"/>
      <c r="J114" s="116"/>
      <c r="K114" s="119"/>
      <c r="L114" s="98"/>
      <c r="M114" s="101"/>
      <c r="O114" s="100"/>
      <c r="P114" s="119" t="str">
        <f>IF('Temperature in bundle'!$P$4="Current = 1A per pair",2,IF($A114="","",('Temperature in bundle'!$Q$6-('Temperature in bundle'!$Q$6^2-4*(O114+Q$7)*'Temperature in bundle'!$Q$7)^0.5)/2/(O114+Q$7)))</f>
        <v/>
      </c>
      <c r="Q114" s="98"/>
      <c r="R114" s="101"/>
      <c r="T114" s="100"/>
      <c r="U114" s="119" t="str">
        <f>IF('Temperature in bundle'!$P$4="Current = 1A per pair",2,IF($A114="","",('Temperature in bundle'!$Q$6-('Temperature in bundle'!$Q$6^2-4*(T114+V$7)*'Temperature in bundle'!$Q$7)^0.5)/2/(T114+V$7)))</f>
        <v/>
      </c>
      <c r="V114" s="98"/>
      <c r="W114" s="101"/>
      <c r="Y114" s="100"/>
      <c r="Z114" s="119" t="str">
        <f>IF('Temperature in bundle'!$P$4="Current = 1A per pair",2,IF($A114="","",('Temperature in bundle'!$Q$6-('Temperature in bundle'!$Q$6^2-4*(Y114+AA$7)*'Temperature in bundle'!$Q$7)^0.5)/2/(Y114+AA$7)))</f>
        <v/>
      </c>
      <c r="AA114" s="98"/>
      <c r="AB114" s="101"/>
    </row>
    <row r="115" spans="2:28">
      <c r="B115" s="113"/>
      <c r="C115" s="113"/>
      <c r="D115" s="113"/>
      <c r="E115" s="113"/>
      <c r="F115" s="113"/>
      <c r="G115" s="113"/>
      <c r="J115" s="116"/>
      <c r="K115" s="119"/>
      <c r="L115" s="98"/>
      <c r="M115" s="101"/>
      <c r="O115" s="100"/>
      <c r="P115" s="119" t="str">
        <f>IF('Temperature in bundle'!$P$4="Current = 1A per pair",2,IF($A115="","",('Temperature in bundle'!$Q$6-('Temperature in bundle'!$Q$6^2-4*(O115+Q$7)*'Temperature in bundle'!$Q$7)^0.5)/2/(O115+Q$7)))</f>
        <v/>
      </c>
      <c r="Q115" s="98"/>
      <c r="R115" s="101"/>
      <c r="T115" s="100"/>
      <c r="U115" s="119" t="str">
        <f>IF('Temperature in bundle'!$P$4="Current = 1A per pair",2,IF($A115="","",('Temperature in bundle'!$Q$6-('Temperature in bundle'!$Q$6^2-4*(T115+V$7)*'Temperature in bundle'!$Q$7)^0.5)/2/(T115+V$7)))</f>
        <v/>
      </c>
      <c r="V115" s="98"/>
      <c r="W115" s="101"/>
      <c r="Y115" s="100"/>
      <c r="Z115" s="119" t="str">
        <f>IF('Temperature in bundle'!$P$4="Current = 1A per pair",2,IF($A115="","",('Temperature in bundle'!$Q$6-('Temperature in bundle'!$Q$6^2-4*(Y115+AA$7)*'Temperature in bundle'!$Q$7)^0.5)/2/(Y115+AA$7)))</f>
        <v/>
      </c>
      <c r="AA115" s="98"/>
      <c r="AB115" s="101"/>
    </row>
    <row r="116" spans="2:28">
      <c r="B116" s="113"/>
      <c r="C116" s="113"/>
      <c r="D116" s="113"/>
      <c r="E116" s="113"/>
      <c r="F116" s="113"/>
      <c r="G116" s="113"/>
      <c r="J116" s="116"/>
      <c r="K116" s="119"/>
      <c r="L116" s="98"/>
      <c r="M116" s="101"/>
      <c r="O116" s="100"/>
      <c r="P116" s="119" t="str">
        <f>IF('Temperature in bundle'!$P$4="Current = 1A per pair",2,IF($A116="","",('Temperature in bundle'!$Q$6-('Temperature in bundle'!$Q$6^2-4*(O116+Q$7)*'Temperature in bundle'!$Q$7)^0.5)/2/(O116+Q$7)))</f>
        <v/>
      </c>
      <c r="Q116" s="98"/>
      <c r="R116" s="101"/>
      <c r="T116" s="100"/>
      <c r="U116" s="119" t="str">
        <f>IF('Temperature in bundle'!$P$4="Current = 1A per pair",2,IF($A116="","",('Temperature in bundle'!$Q$6-('Temperature in bundle'!$Q$6^2-4*(T116+V$7)*'Temperature in bundle'!$Q$7)^0.5)/2/(T116+V$7)))</f>
        <v/>
      </c>
      <c r="V116" s="98"/>
      <c r="W116" s="101"/>
      <c r="Y116" s="100"/>
      <c r="Z116" s="119" t="str">
        <f>IF('Temperature in bundle'!$P$4="Current = 1A per pair",2,IF($A116="","",('Temperature in bundle'!$Q$6-('Temperature in bundle'!$Q$6^2-4*(Y116+AA$7)*'Temperature in bundle'!$Q$7)^0.5)/2/(Y116+AA$7)))</f>
        <v/>
      </c>
      <c r="AA116" s="98"/>
      <c r="AB116" s="101"/>
    </row>
    <row r="117" spans="2:28">
      <c r="B117" s="113"/>
      <c r="C117" s="113"/>
      <c r="D117" s="113"/>
      <c r="E117" s="113"/>
      <c r="F117" s="113"/>
      <c r="G117" s="113"/>
      <c r="J117" s="116"/>
      <c r="K117" s="119"/>
      <c r="L117" s="98"/>
      <c r="M117" s="101"/>
      <c r="O117" s="100"/>
      <c r="P117" s="119" t="str">
        <f>IF('Temperature in bundle'!$P$4="Current = 1A per pair",2,IF($A117="","",('Temperature in bundle'!$Q$6-('Temperature in bundle'!$Q$6^2-4*(O117+Q$7)*'Temperature in bundle'!$Q$7)^0.5)/2/(O117+Q$7)))</f>
        <v/>
      </c>
      <c r="Q117" s="98"/>
      <c r="R117" s="101"/>
      <c r="T117" s="100"/>
      <c r="U117" s="119" t="str">
        <f>IF('Temperature in bundle'!$P$4="Current = 1A per pair",2,IF($A117="","",('Temperature in bundle'!$Q$6-('Temperature in bundle'!$Q$6^2-4*(T117+V$7)*'Temperature in bundle'!$Q$7)^0.5)/2/(T117+V$7)))</f>
        <v/>
      </c>
      <c r="V117" s="98"/>
      <c r="W117" s="101"/>
      <c r="Y117" s="100"/>
      <c r="Z117" s="119" t="str">
        <f>IF('Temperature in bundle'!$P$4="Current = 1A per pair",2,IF($A117="","",('Temperature in bundle'!$Q$6-('Temperature in bundle'!$Q$6^2-4*(Y117+AA$7)*'Temperature in bundle'!$Q$7)^0.5)/2/(Y117+AA$7)))</f>
        <v/>
      </c>
      <c r="AA117" s="98"/>
      <c r="AB117" s="101"/>
    </row>
    <row r="118" spans="2:28">
      <c r="B118" s="113"/>
      <c r="C118" s="113"/>
      <c r="D118" s="113"/>
      <c r="E118" s="113"/>
      <c r="F118" s="113"/>
      <c r="G118" s="113"/>
      <c r="J118" s="116"/>
      <c r="K118" s="119"/>
      <c r="L118" s="98"/>
      <c r="M118" s="101"/>
      <c r="O118" s="100"/>
      <c r="P118" s="119" t="str">
        <f>IF('Temperature in bundle'!$P$4="Current = 1A per pair",2,IF($A118="","",('Temperature in bundle'!$Q$6-('Temperature in bundle'!$Q$6^2-4*(O118+Q$7)*'Temperature in bundle'!$Q$7)^0.5)/2/(O118+Q$7)))</f>
        <v/>
      </c>
      <c r="Q118" s="98"/>
      <c r="R118" s="101"/>
      <c r="T118" s="100"/>
      <c r="U118" s="119" t="str">
        <f>IF('Temperature in bundle'!$P$4="Current = 1A per pair",2,IF($A118="","",('Temperature in bundle'!$Q$6-('Temperature in bundle'!$Q$6^2-4*(T118+V$7)*'Temperature in bundle'!$Q$7)^0.5)/2/(T118+V$7)))</f>
        <v/>
      </c>
      <c r="V118" s="98"/>
      <c r="W118" s="101"/>
      <c r="Y118" s="100"/>
      <c r="Z118" s="119" t="str">
        <f>IF('Temperature in bundle'!$P$4="Current = 1A per pair",2,IF($A118="","",('Temperature in bundle'!$Q$6-('Temperature in bundle'!$Q$6^2-4*(Y118+AA$7)*'Temperature in bundle'!$Q$7)^0.5)/2/(Y118+AA$7)))</f>
        <v/>
      </c>
      <c r="AA118" s="98"/>
      <c r="AB118" s="101"/>
    </row>
    <row r="119" spans="2:28">
      <c r="B119" s="113"/>
      <c r="C119" s="113"/>
      <c r="D119" s="113"/>
      <c r="E119" s="113"/>
      <c r="F119" s="113"/>
      <c r="G119" s="113"/>
      <c r="J119" s="116"/>
      <c r="K119" s="119"/>
      <c r="L119" s="98"/>
      <c r="M119" s="101"/>
      <c r="O119" s="100"/>
      <c r="P119" s="119" t="str">
        <f>IF('Temperature in bundle'!$P$4="Current = 1A per pair",2,IF($A119="","",('Temperature in bundle'!$Q$6-('Temperature in bundle'!$Q$6^2-4*(O119+Q$7)*'Temperature in bundle'!$Q$7)^0.5)/2/(O119+Q$7)))</f>
        <v/>
      </c>
      <c r="Q119" s="98"/>
      <c r="R119" s="101"/>
      <c r="T119" s="100"/>
      <c r="U119" s="119" t="str">
        <f>IF('Temperature in bundle'!$P$4="Current = 1A per pair",2,IF($A119="","",('Temperature in bundle'!$Q$6-('Temperature in bundle'!$Q$6^2-4*(T119+V$7)*'Temperature in bundle'!$Q$7)^0.5)/2/(T119+V$7)))</f>
        <v/>
      </c>
      <c r="V119" s="98"/>
      <c r="W119" s="101"/>
      <c r="Y119" s="100"/>
      <c r="Z119" s="119" t="str">
        <f>IF('Temperature in bundle'!$P$4="Current = 1A per pair",2,IF($A119="","",('Temperature in bundle'!$Q$6-('Temperature in bundle'!$Q$6^2-4*(Y119+AA$7)*'Temperature in bundle'!$Q$7)^0.5)/2/(Y119+AA$7)))</f>
        <v/>
      </c>
      <c r="AA119" s="98"/>
      <c r="AB119" s="101"/>
    </row>
    <row r="120" spans="2:28">
      <c r="B120" s="113"/>
      <c r="C120" s="113"/>
      <c r="D120" s="113"/>
      <c r="E120" s="113"/>
      <c r="F120" s="113"/>
      <c r="G120" s="113"/>
      <c r="J120" s="116"/>
      <c r="K120" s="119"/>
      <c r="L120" s="98"/>
      <c r="M120" s="101"/>
      <c r="O120" s="100"/>
      <c r="P120" s="119" t="str">
        <f>IF('Temperature in bundle'!$P$4="Current = 1A per pair",2,IF($A120="","",('Temperature in bundle'!$Q$6-('Temperature in bundle'!$Q$6^2-4*(O120+Q$7)*'Temperature in bundle'!$Q$7)^0.5)/2/(O120+Q$7)))</f>
        <v/>
      </c>
      <c r="Q120" s="98"/>
      <c r="R120" s="101"/>
      <c r="T120" s="100"/>
      <c r="U120" s="119" t="str">
        <f>IF('Temperature in bundle'!$P$4="Current = 1A per pair",2,IF($A120="","",('Temperature in bundle'!$Q$6-('Temperature in bundle'!$Q$6^2-4*(T120+V$7)*'Temperature in bundle'!$Q$7)^0.5)/2/(T120+V$7)))</f>
        <v/>
      </c>
      <c r="V120" s="98"/>
      <c r="W120" s="101"/>
      <c r="Y120" s="100"/>
      <c r="Z120" s="119" t="str">
        <f>IF('Temperature in bundle'!$P$4="Current = 1A per pair",2,IF($A120="","",('Temperature in bundle'!$Q$6-('Temperature in bundle'!$Q$6^2-4*(Y120+AA$7)*'Temperature in bundle'!$Q$7)^0.5)/2/(Y120+AA$7)))</f>
        <v/>
      </c>
      <c r="AA120" s="98"/>
      <c r="AB120" s="101"/>
    </row>
    <row r="121" spans="2:28">
      <c r="B121" s="113"/>
      <c r="C121" s="113"/>
      <c r="D121" s="113"/>
      <c r="E121" s="113"/>
      <c r="F121" s="113"/>
      <c r="G121" s="113"/>
      <c r="J121" s="116"/>
      <c r="K121" s="119"/>
      <c r="L121" s="98"/>
      <c r="M121" s="101"/>
      <c r="O121" s="100"/>
      <c r="P121" s="119" t="str">
        <f>IF('Temperature in bundle'!$P$4="Current = 1A per pair",2,IF($A121="","",('Temperature in bundle'!$Q$6-('Temperature in bundle'!$Q$6^2-4*(O121+Q$7)*'Temperature in bundle'!$Q$7)^0.5)/2/(O121+Q$7)))</f>
        <v/>
      </c>
      <c r="Q121" s="98"/>
      <c r="R121" s="101"/>
      <c r="T121" s="100"/>
      <c r="U121" s="119" t="str">
        <f>IF('Temperature in bundle'!$P$4="Current = 1A per pair",2,IF($A121="","",('Temperature in bundle'!$Q$6-('Temperature in bundle'!$Q$6^2-4*(T121+V$7)*'Temperature in bundle'!$Q$7)^0.5)/2/(T121+V$7)))</f>
        <v/>
      </c>
      <c r="V121" s="98"/>
      <c r="W121" s="101"/>
      <c r="Y121" s="100"/>
      <c r="Z121" s="119" t="str">
        <f>IF('Temperature in bundle'!$P$4="Current = 1A per pair",2,IF($A121="","",('Temperature in bundle'!$Q$6-('Temperature in bundle'!$Q$6^2-4*(Y121+AA$7)*'Temperature in bundle'!$Q$7)^0.5)/2/(Y121+AA$7)))</f>
        <v/>
      </c>
      <c r="AA121" s="98"/>
      <c r="AB121" s="101"/>
    </row>
    <row r="122" spans="2:28">
      <c r="B122" s="113"/>
      <c r="C122" s="113"/>
      <c r="D122" s="113"/>
      <c r="E122" s="113"/>
      <c r="F122" s="113"/>
      <c r="G122" s="113"/>
      <c r="J122" s="116"/>
      <c r="K122" s="119"/>
      <c r="L122" s="98"/>
      <c r="M122" s="101"/>
      <c r="O122" s="100"/>
      <c r="P122" s="119" t="str">
        <f>IF('Temperature in bundle'!$P$4="Current = 1A per pair",2,IF($A122="","",('Temperature in bundle'!$Q$6-('Temperature in bundle'!$Q$6^2-4*(O122+Q$7)*'Temperature in bundle'!$Q$7)^0.5)/2/(O122+Q$7)))</f>
        <v/>
      </c>
      <c r="Q122" s="98"/>
      <c r="R122" s="101"/>
      <c r="T122" s="100"/>
      <c r="U122" s="119" t="str">
        <f>IF('Temperature in bundle'!$P$4="Current = 1A per pair",2,IF($A122="","",('Temperature in bundle'!$Q$6-('Temperature in bundle'!$Q$6^2-4*(T122+V$7)*'Temperature in bundle'!$Q$7)^0.5)/2/(T122+V$7)))</f>
        <v/>
      </c>
      <c r="V122" s="98"/>
      <c r="W122" s="101"/>
      <c r="Y122" s="100"/>
      <c r="Z122" s="119" t="str">
        <f>IF('Temperature in bundle'!$P$4="Current = 1A per pair",2,IF($A122="","",('Temperature in bundle'!$Q$6-('Temperature in bundle'!$Q$6^2-4*(Y122+AA$7)*'Temperature in bundle'!$Q$7)^0.5)/2/(Y122+AA$7)))</f>
        <v/>
      </c>
      <c r="AA122" s="98"/>
      <c r="AB122" s="101"/>
    </row>
    <row r="123" spans="2:28">
      <c r="B123" s="113"/>
      <c r="C123" s="113"/>
      <c r="D123" s="113"/>
      <c r="E123" s="113"/>
      <c r="F123" s="113"/>
      <c r="G123" s="113"/>
      <c r="J123" s="116"/>
      <c r="K123" s="119"/>
      <c r="L123" s="98"/>
      <c r="M123" s="101"/>
      <c r="O123" s="100"/>
      <c r="P123" s="119" t="str">
        <f>IF('Temperature in bundle'!$P$4="Current = 1A per pair",2,IF($A123="","",('Temperature in bundle'!$Q$6-('Temperature in bundle'!$Q$6^2-4*(O123+Q$7)*'Temperature in bundle'!$Q$7)^0.5)/2/(O123+Q$7)))</f>
        <v/>
      </c>
      <c r="Q123" s="98"/>
      <c r="R123" s="101"/>
      <c r="T123" s="100"/>
      <c r="U123" s="119" t="str">
        <f>IF('Temperature in bundle'!$P$4="Current = 1A per pair",2,IF($A123="","",('Temperature in bundle'!$Q$6-('Temperature in bundle'!$Q$6^2-4*(T123+V$7)*'Temperature in bundle'!$Q$7)^0.5)/2/(T123+V$7)))</f>
        <v/>
      </c>
      <c r="V123" s="98"/>
      <c r="W123" s="101"/>
      <c r="Y123" s="100"/>
      <c r="Z123" s="119" t="str">
        <f>IF('Temperature in bundle'!$P$4="Current = 1A per pair",2,IF($A123="","",('Temperature in bundle'!$Q$6-('Temperature in bundle'!$Q$6^2-4*(Y123+AA$7)*'Temperature in bundle'!$Q$7)^0.5)/2/(Y123+AA$7)))</f>
        <v/>
      </c>
      <c r="AA123" s="98"/>
      <c r="AB123" s="101"/>
    </row>
    <row r="124" spans="2:28">
      <c r="B124" s="113"/>
      <c r="C124" s="113"/>
      <c r="D124" s="113"/>
      <c r="E124" s="113"/>
      <c r="F124" s="113"/>
      <c r="G124" s="113"/>
      <c r="J124" s="116"/>
      <c r="K124" s="119"/>
      <c r="L124" s="98"/>
      <c r="M124" s="101"/>
      <c r="O124" s="100"/>
      <c r="P124" s="119" t="str">
        <f>IF('Temperature in bundle'!$P$4="Current = 1A per pair",2,IF($A124="","",('Temperature in bundle'!$Q$6-('Temperature in bundle'!$Q$6^2-4*(O124+Q$7)*'Temperature in bundle'!$Q$7)^0.5)/2/(O124+Q$7)))</f>
        <v/>
      </c>
      <c r="Q124" s="98"/>
      <c r="R124" s="101"/>
      <c r="T124" s="100"/>
      <c r="U124" s="119" t="str">
        <f>IF('Temperature in bundle'!$P$4="Current = 1A per pair",2,IF($A124="","",('Temperature in bundle'!$Q$6-('Temperature in bundle'!$Q$6^2-4*(T124+V$7)*'Temperature in bundle'!$Q$7)^0.5)/2/(T124+V$7)))</f>
        <v/>
      </c>
      <c r="V124" s="98"/>
      <c r="W124" s="101"/>
      <c r="Y124" s="100"/>
      <c r="Z124" s="119" t="str">
        <f>IF('Temperature in bundle'!$P$4="Current = 1A per pair",2,IF($A124="","",('Temperature in bundle'!$Q$6-('Temperature in bundle'!$Q$6^2-4*(Y124+AA$7)*'Temperature in bundle'!$Q$7)^0.5)/2/(Y124+AA$7)))</f>
        <v/>
      </c>
      <c r="AA124" s="98"/>
      <c r="AB124" s="101"/>
    </row>
    <row r="125" spans="2:28">
      <c r="B125" s="113"/>
      <c r="C125" s="113"/>
      <c r="D125" s="113"/>
      <c r="E125" s="113"/>
      <c r="F125" s="113"/>
      <c r="G125" s="113"/>
      <c r="J125" s="116"/>
      <c r="K125" s="119"/>
      <c r="L125" s="98"/>
      <c r="M125" s="101"/>
      <c r="O125" s="100"/>
      <c r="P125" s="119" t="str">
        <f>IF('Temperature in bundle'!$P$4="Current = 1A per pair",2,IF($A125="","",('Temperature in bundle'!$Q$6-('Temperature in bundle'!$Q$6^2-4*(O125+Q$7)*'Temperature in bundle'!$Q$7)^0.5)/2/(O125+Q$7)))</f>
        <v/>
      </c>
      <c r="Q125" s="98"/>
      <c r="R125" s="101"/>
      <c r="T125" s="100"/>
      <c r="U125" s="119" t="str">
        <f>IF('Temperature in bundle'!$P$4="Current = 1A per pair",2,IF($A125="","",('Temperature in bundle'!$Q$6-('Temperature in bundle'!$Q$6^2-4*(T125+V$7)*'Temperature in bundle'!$Q$7)^0.5)/2/(T125+V$7)))</f>
        <v/>
      </c>
      <c r="V125" s="98"/>
      <c r="W125" s="101"/>
      <c r="Y125" s="100"/>
      <c r="Z125" s="119" t="str">
        <f>IF('Temperature in bundle'!$P$4="Current = 1A per pair",2,IF($A125="","",('Temperature in bundle'!$Q$6-('Temperature in bundle'!$Q$6^2-4*(Y125+AA$7)*'Temperature in bundle'!$Q$7)^0.5)/2/(Y125+AA$7)))</f>
        <v/>
      </c>
      <c r="AA125" s="98"/>
      <c r="AB125" s="101"/>
    </row>
    <row r="126" spans="2:28">
      <c r="B126" s="113"/>
      <c r="C126" s="113"/>
      <c r="D126" s="113"/>
      <c r="E126" s="113"/>
      <c r="F126" s="113"/>
      <c r="G126" s="113"/>
      <c r="J126" s="116"/>
      <c r="K126" s="119"/>
      <c r="L126" s="98"/>
      <c r="M126" s="101"/>
      <c r="O126" s="100"/>
      <c r="P126" s="119" t="str">
        <f>IF('Temperature in bundle'!$P$4="Current = 1A per pair",2,IF($A126="","",('Temperature in bundle'!$Q$6-('Temperature in bundle'!$Q$6^2-4*(O126+Q$7)*'Temperature in bundle'!$Q$7)^0.5)/2/(O126+Q$7)))</f>
        <v/>
      </c>
      <c r="Q126" s="98"/>
      <c r="R126" s="101"/>
      <c r="T126" s="100"/>
      <c r="U126" s="119" t="str">
        <f>IF('Temperature in bundle'!$P$4="Current = 1A per pair",2,IF($A126="","",('Temperature in bundle'!$Q$6-('Temperature in bundle'!$Q$6^2-4*(T126+V$7)*'Temperature in bundle'!$Q$7)^0.5)/2/(T126+V$7)))</f>
        <v/>
      </c>
      <c r="V126" s="98"/>
      <c r="W126" s="101"/>
      <c r="Y126" s="100"/>
      <c r="Z126" s="119" t="str">
        <f>IF('Temperature in bundle'!$P$4="Current = 1A per pair",2,IF($A126="","",('Temperature in bundle'!$Q$6-('Temperature in bundle'!$Q$6^2-4*(Y126+AA$7)*'Temperature in bundle'!$Q$7)^0.5)/2/(Y126+AA$7)))</f>
        <v/>
      </c>
      <c r="AA126" s="98"/>
      <c r="AB126" s="101"/>
    </row>
    <row r="127" spans="2:28">
      <c r="B127" s="113"/>
      <c r="C127" s="113"/>
      <c r="D127" s="113"/>
      <c r="E127" s="113"/>
      <c r="F127" s="113"/>
      <c r="G127" s="113"/>
      <c r="J127" s="116"/>
      <c r="K127" s="119"/>
      <c r="L127" s="98"/>
      <c r="M127" s="101"/>
      <c r="O127" s="100"/>
      <c r="P127" s="119" t="str">
        <f>IF('Temperature in bundle'!$P$4="Current = 1A per pair",2,IF($A127="","",('Temperature in bundle'!$Q$6-('Temperature in bundle'!$Q$6^2-4*(O127+Q$7)*'Temperature in bundle'!$Q$7)^0.5)/2/(O127+Q$7)))</f>
        <v/>
      </c>
      <c r="Q127" s="98"/>
      <c r="R127" s="101"/>
      <c r="T127" s="100"/>
      <c r="U127" s="119" t="str">
        <f>IF('Temperature in bundle'!$P$4="Current = 1A per pair",2,IF($A127="","",('Temperature in bundle'!$Q$6-('Temperature in bundle'!$Q$6^2-4*(T127+V$7)*'Temperature in bundle'!$Q$7)^0.5)/2/(T127+V$7)))</f>
        <v/>
      </c>
      <c r="V127" s="98"/>
      <c r="W127" s="101"/>
      <c r="Y127" s="100"/>
      <c r="Z127" s="119" t="str">
        <f>IF('Temperature in bundle'!$P$4="Current = 1A per pair",2,IF($A127="","",('Temperature in bundle'!$Q$6-('Temperature in bundle'!$Q$6^2-4*(Y127+AA$7)*'Temperature in bundle'!$Q$7)^0.5)/2/(Y127+AA$7)))</f>
        <v/>
      </c>
      <c r="AA127" s="98"/>
      <c r="AB127" s="101"/>
    </row>
    <row r="128" spans="2:28">
      <c r="B128" s="113"/>
      <c r="C128" s="113"/>
      <c r="D128" s="113"/>
      <c r="E128" s="113"/>
      <c r="F128" s="113"/>
      <c r="G128" s="113"/>
      <c r="J128" s="116"/>
      <c r="K128" s="119"/>
      <c r="L128" s="98"/>
      <c r="M128" s="101"/>
      <c r="O128" s="100"/>
      <c r="P128" s="119" t="str">
        <f>IF('Temperature in bundle'!$P$4="Current = 1A per pair",2,IF($A128="","",('Temperature in bundle'!$Q$6-('Temperature in bundle'!$Q$6^2-4*(O128+Q$7)*'Temperature in bundle'!$Q$7)^0.5)/2/(O128+Q$7)))</f>
        <v/>
      </c>
      <c r="Q128" s="98"/>
      <c r="R128" s="101"/>
      <c r="T128" s="100"/>
      <c r="U128" s="119" t="str">
        <f>IF('Temperature in bundle'!$P$4="Current = 1A per pair",2,IF($A128="","",('Temperature in bundle'!$Q$6-('Temperature in bundle'!$Q$6^2-4*(T128+V$7)*'Temperature in bundle'!$Q$7)^0.5)/2/(T128+V$7)))</f>
        <v/>
      </c>
      <c r="V128" s="98"/>
      <c r="W128" s="101"/>
      <c r="Y128" s="100"/>
      <c r="Z128" s="119" t="str">
        <f>IF('Temperature in bundle'!$P$4="Current = 1A per pair",2,IF($A128="","",('Temperature in bundle'!$Q$6-('Temperature in bundle'!$Q$6^2-4*(Y128+AA$7)*'Temperature in bundle'!$Q$7)^0.5)/2/(Y128+AA$7)))</f>
        <v/>
      </c>
      <c r="AA128" s="98"/>
      <c r="AB128" s="101"/>
    </row>
    <row r="129" spans="2:28">
      <c r="B129" s="113"/>
      <c r="C129" s="113"/>
      <c r="D129" s="113"/>
      <c r="E129" s="113"/>
      <c r="F129" s="113"/>
      <c r="G129" s="113"/>
      <c r="J129" s="116"/>
      <c r="K129" s="119"/>
      <c r="L129" s="98"/>
      <c r="M129" s="101"/>
      <c r="O129" s="100"/>
      <c r="P129" s="119" t="str">
        <f>IF('Temperature in bundle'!$P$4="Current = 1A per pair",2,IF($A129="","",('Temperature in bundle'!$Q$6-('Temperature in bundle'!$Q$6^2-4*(O129+Q$7)*'Temperature in bundle'!$Q$7)^0.5)/2/(O129+Q$7)))</f>
        <v/>
      </c>
      <c r="Q129" s="98"/>
      <c r="R129" s="101"/>
      <c r="T129" s="100"/>
      <c r="U129" s="119" t="str">
        <f>IF('Temperature in bundle'!$P$4="Current = 1A per pair",2,IF($A129="","",('Temperature in bundle'!$Q$6-('Temperature in bundle'!$Q$6^2-4*(T129+V$7)*'Temperature in bundle'!$Q$7)^0.5)/2/(T129+V$7)))</f>
        <v/>
      </c>
      <c r="V129" s="98"/>
      <c r="W129" s="101"/>
      <c r="Y129" s="100"/>
      <c r="Z129" s="119" t="str">
        <f>IF('Temperature in bundle'!$P$4="Current = 1A per pair",2,IF($A129="","",('Temperature in bundle'!$Q$6-('Temperature in bundle'!$Q$6^2-4*(Y129+AA$7)*'Temperature in bundle'!$Q$7)^0.5)/2/(Y129+AA$7)))</f>
        <v/>
      </c>
      <c r="AA129" s="98"/>
      <c r="AB129" s="101"/>
    </row>
    <row r="130" spans="2:28">
      <c r="B130" s="113"/>
      <c r="C130" s="113"/>
      <c r="D130" s="113"/>
      <c r="E130" s="113"/>
      <c r="F130" s="113"/>
      <c r="G130" s="113"/>
      <c r="J130" s="116"/>
      <c r="K130" s="119"/>
      <c r="L130" s="98"/>
      <c r="M130" s="101"/>
      <c r="O130" s="100"/>
      <c r="P130" s="119" t="str">
        <f>IF('Temperature in bundle'!$P$4="Current = 1A per pair",2,IF($A130="","",('Temperature in bundle'!$Q$6-('Temperature in bundle'!$Q$6^2-4*(O130+Q$7)*'Temperature in bundle'!$Q$7)^0.5)/2/(O130+Q$7)))</f>
        <v/>
      </c>
      <c r="Q130" s="98"/>
      <c r="R130" s="101"/>
      <c r="T130" s="100"/>
      <c r="U130" s="119" t="str">
        <f>IF('Temperature in bundle'!$P$4="Current = 1A per pair",2,IF($A130="","",('Temperature in bundle'!$Q$6-('Temperature in bundle'!$Q$6^2-4*(T130+V$7)*'Temperature in bundle'!$Q$7)^0.5)/2/(T130+V$7)))</f>
        <v/>
      </c>
      <c r="V130" s="98"/>
      <c r="W130" s="101"/>
      <c r="Y130" s="100"/>
      <c r="Z130" s="119" t="str">
        <f>IF('Temperature in bundle'!$P$4="Current = 1A per pair",2,IF($A130="","",('Temperature in bundle'!$Q$6-('Temperature in bundle'!$Q$6^2-4*(Y130+AA$7)*'Temperature in bundle'!$Q$7)^0.5)/2/(Y130+AA$7)))</f>
        <v/>
      </c>
      <c r="AA130" s="98"/>
      <c r="AB130" s="101"/>
    </row>
    <row r="131" spans="2:28">
      <c r="B131" s="113"/>
      <c r="C131" s="113"/>
      <c r="D131" s="113"/>
      <c r="E131" s="113"/>
      <c r="F131" s="113"/>
      <c r="G131" s="113"/>
      <c r="J131" s="116"/>
      <c r="K131" s="119"/>
      <c r="L131" s="98"/>
      <c r="M131" s="101"/>
      <c r="O131" s="100"/>
      <c r="P131" s="119" t="str">
        <f>IF('Temperature in bundle'!$P$4="Current = 1A per pair",2,IF($A131="","",('Temperature in bundle'!$Q$6-('Temperature in bundle'!$Q$6^2-4*(O131+Q$7)*'Temperature in bundle'!$Q$7)^0.5)/2/(O131+Q$7)))</f>
        <v/>
      </c>
      <c r="Q131" s="98"/>
      <c r="R131" s="101"/>
      <c r="T131" s="100"/>
      <c r="U131" s="119" t="str">
        <f>IF('Temperature in bundle'!$P$4="Current = 1A per pair",2,IF($A131="","",('Temperature in bundle'!$Q$6-('Temperature in bundle'!$Q$6^2-4*(T131+V$7)*'Temperature in bundle'!$Q$7)^0.5)/2/(T131+V$7)))</f>
        <v/>
      </c>
      <c r="V131" s="98"/>
      <c r="W131" s="101"/>
      <c r="Y131" s="100"/>
      <c r="Z131" s="119" t="str">
        <f>IF('Temperature in bundle'!$P$4="Current = 1A per pair",2,IF($A131="","",('Temperature in bundle'!$Q$6-('Temperature in bundle'!$Q$6^2-4*(Y131+AA$7)*'Temperature in bundle'!$Q$7)^0.5)/2/(Y131+AA$7)))</f>
        <v/>
      </c>
      <c r="AA131" s="98"/>
      <c r="AB131" s="101"/>
    </row>
    <row r="132" spans="2:28">
      <c r="B132" s="113"/>
      <c r="C132" s="113"/>
      <c r="D132" s="113"/>
      <c r="E132" s="113"/>
      <c r="F132" s="113"/>
      <c r="G132" s="113"/>
      <c r="J132" s="116"/>
      <c r="K132" s="119"/>
      <c r="L132" s="98"/>
      <c r="M132" s="101"/>
      <c r="O132" s="100"/>
      <c r="P132" s="119" t="str">
        <f>IF('Temperature in bundle'!$P$4="Current = 1A per pair",2,IF($A132="","",('Temperature in bundle'!$Q$6-('Temperature in bundle'!$Q$6^2-4*(O132+Q$7)*'Temperature in bundle'!$Q$7)^0.5)/2/(O132+Q$7)))</f>
        <v/>
      </c>
      <c r="Q132" s="98"/>
      <c r="R132" s="101"/>
      <c r="T132" s="100"/>
      <c r="U132" s="119" t="str">
        <f>IF('Temperature in bundle'!$P$4="Current = 1A per pair",2,IF($A132="","",('Temperature in bundle'!$Q$6-('Temperature in bundle'!$Q$6^2-4*(T132+V$7)*'Temperature in bundle'!$Q$7)^0.5)/2/(T132+V$7)))</f>
        <v/>
      </c>
      <c r="V132" s="98"/>
      <c r="W132" s="101"/>
      <c r="Y132" s="100"/>
      <c r="Z132" s="119" t="str">
        <f>IF('Temperature in bundle'!$P$4="Current = 1A per pair",2,IF($A132="","",('Temperature in bundle'!$Q$6-('Temperature in bundle'!$Q$6^2-4*(Y132+AA$7)*'Temperature in bundle'!$Q$7)^0.5)/2/(Y132+AA$7)))</f>
        <v/>
      </c>
      <c r="AA132" s="98"/>
      <c r="AB132" s="101"/>
    </row>
    <row r="133" spans="2:28">
      <c r="B133" s="113"/>
      <c r="C133" s="113"/>
      <c r="D133" s="113"/>
      <c r="E133" s="113"/>
      <c r="F133" s="113"/>
      <c r="G133" s="113"/>
      <c r="J133" s="116"/>
      <c r="K133" s="119"/>
      <c r="L133" s="98"/>
      <c r="M133" s="101"/>
      <c r="O133" s="100"/>
      <c r="P133" s="119" t="str">
        <f>IF('Temperature in bundle'!$P$4="Current = 1A per pair",2,IF($A133="","",('Temperature in bundle'!$Q$6-('Temperature in bundle'!$Q$6^2-4*(O133+Q$7)*'Temperature in bundle'!$Q$7)^0.5)/2/(O133+Q$7)))</f>
        <v/>
      </c>
      <c r="Q133" s="98"/>
      <c r="R133" s="101"/>
      <c r="T133" s="100"/>
      <c r="U133" s="119" t="str">
        <f>IF('Temperature in bundle'!$P$4="Current = 1A per pair",2,IF($A133="","",('Temperature in bundle'!$Q$6-('Temperature in bundle'!$Q$6^2-4*(T133+V$7)*'Temperature in bundle'!$Q$7)^0.5)/2/(T133+V$7)))</f>
        <v/>
      </c>
      <c r="V133" s="98"/>
      <c r="W133" s="101"/>
      <c r="Y133" s="100"/>
      <c r="Z133" s="119" t="str">
        <f>IF('Temperature in bundle'!$P$4="Current = 1A per pair",2,IF($A133="","",('Temperature in bundle'!$Q$6-('Temperature in bundle'!$Q$6^2-4*(Y133+AA$7)*'Temperature in bundle'!$Q$7)^0.5)/2/(Y133+AA$7)))</f>
        <v/>
      </c>
      <c r="AA133" s="98"/>
      <c r="AB133" s="101"/>
    </row>
    <row r="134" spans="2:28">
      <c r="B134" s="113"/>
      <c r="C134" s="113"/>
      <c r="D134" s="113"/>
      <c r="E134" s="113"/>
      <c r="F134" s="113"/>
      <c r="G134" s="113"/>
      <c r="J134" s="116"/>
      <c r="K134" s="119"/>
      <c r="L134" s="98"/>
      <c r="M134" s="101"/>
      <c r="O134" s="100"/>
      <c r="P134" s="119" t="str">
        <f>IF('Temperature in bundle'!$P$4="Current = 1A per pair",2,IF($A134="","",('Temperature in bundle'!$Q$6-('Temperature in bundle'!$Q$6^2-4*(O134+Q$7)*'Temperature in bundle'!$Q$7)^0.5)/2/(O134+Q$7)))</f>
        <v/>
      </c>
      <c r="Q134" s="98"/>
      <c r="R134" s="101"/>
      <c r="T134" s="100"/>
      <c r="U134" s="119" t="str">
        <f>IF('Temperature in bundle'!$P$4="Current = 1A per pair",2,IF($A134="","",('Temperature in bundle'!$Q$6-('Temperature in bundle'!$Q$6^2-4*(T134+V$7)*'Temperature in bundle'!$Q$7)^0.5)/2/(T134+V$7)))</f>
        <v/>
      </c>
      <c r="V134" s="98"/>
      <c r="W134" s="101"/>
      <c r="Y134" s="100"/>
      <c r="Z134" s="119" t="str">
        <f>IF('Temperature in bundle'!$P$4="Current = 1A per pair",2,IF($A134="","",('Temperature in bundle'!$Q$6-('Temperature in bundle'!$Q$6^2-4*(Y134+AA$7)*'Temperature in bundle'!$Q$7)^0.5)/2/(Y134+AA$7)))</f>
        <v/>
      </c>
      <c r="AA134" s="98"/>
      <c r="AB134" s="101"/>
    </row>
    <row r="135" spans="2:28">
      <c r="B135" s="113"/>
      <c r="C135" s="113"/>
      <c r="D135" s="113"/>
      <c r="E135" s="113"/>
      <c r="F135" s="113"/>
      <c r="G135" s="113"/>
      <c r="J135" s="116"/>
      <c r="K135" s="119"/>
      <c r="L135" s="98"/>
      <c r="M135" s="101"/>
      <c r="O135" s="100"/>
      <c r="P135" s="119" t="str">
        <f>IF('Temperature in bundle'!$P$4="Current = 1A per pair",2,IF($A135="","",('Temperature in bundle'!$Q$6-('Temperature in bundle'!$Q$6^2-4*(O135+Q$7)*'Temperature in bundle'!$Q$7)^0.5)/2/(O135+Q$7)))</f>
        <v/>
      </c>
      <c r="Q135" s="98"/>
      <c r="R135" s="101"/>
      <c r="T135" s="100"/>
      <c r="U135" s="119" t="str">
        <f>IF('Temperature in bundle'!$P$4="Current = 1A per pair",2,IF($A135="","",('Temperature in bundle'!$Q$6-('Temperature in bundle'!$Q$6^2-4*(T135+V$7)*'Temperature in bundle'!$Q$7)^0.5)/2/(T135+V$7)))</f>
        <v/>
      </c>
      <c r="V135" s="98"/>
      <c r="W135" s="101"/>
      <c r="Y135" s="100"/>
      <c r="Z135" s="119" t="str">
        <f>IF('Temperature in bundle'!$P$4="Current = 1A per pair",2,IF($A135="","",('Temperature in bundle'!$Q$6-('Temperature in bundle'!$Q$6^2-4*(Y135+AA$7)*'Temperature in bundle'!$Q$7)^0.5)/2/(Y135+AA$7)))</f>
        <v/>
      </c>
      <c r="AA135" s="98"/>
      <c r="AB135" s="101"/>
    </row>
    <row r="136" spans="2:28">
      <c r="B136" s="113"/>
      <c r="C136" s="113"/>
      <c r="D136" s="113"/>
      <c r="E136" s="113"/>
      <c r="F136" s="113"/>
      <c r="G136" s="113"/>
      <c r="J136" s="116"/>
      <c r="K136" s="119"/>
      <c r="L136" s="98"/>
      <c r="M136" s="101"/>
      <c r="O136" s="100"/>
      <c r="P136" s="119" t="str">
        <f>IF('Temperature in bundle'!$P$4="Current = 1A per pair",2,IF($A136="","",('Temperature in bundle'!$Q$6-('Temperature in bundle'!$Q$6^2-4*(O136+Q$7)*'Temperature in bundle'!$Q$7)^0.5)/2/(O136+Q$7)))</f>
        <v/>
      </c>
      <c r="Q136" s="98"/>
      <c r="R136" s="101"/>
      <c r="T136" s="100"/>
      <c r="U136" s="119" t="str">
        <f>IF('Temperature in bundle'!$P$4="Current = 1A per pair",2,IF($A136="","",('Temperature in bundle'!$Q$6-('Temperature in bundle'!$Q$6^2-4*(T136+V$7)*'Temperature in bundle'!$Q$7)^0.5)/2/(T136+V$7)))</f>
        <v/>
      </c>
      <c r="V136" s="98"/>
      <c r="W136" s="101"/>
      <c r="Y136" s="100"/>
      <c r="Z136" s="119" t="str">
        <f>IF('Temperature in bundle'!$P$4="Current = 1A per pair",2,IF($A136="","",('Temperature in bundle'!$Q$6-('Temperature in bundle'!$Q$6^2-4*(Y136+AA$7)*'Temperature in bundle'!$Q$7)^0.5)/2/(Y136+AA$7)))</f>
        <v/>
      </c>
      <c r="AA136" s="98"/>
      <c r="AB136" s="101"/>
    </row>
    <row r="137" spans="2:28">
      <c r="B137" s="113"/>
      <c r="C137" s="113"/>
      <c r="D137" s="113"/>
      <c r="E137" s="113"/>
      <c r="F137" s="113"/>
      <c r="G137" s="113"/>
      <c r="J137" s="116"/>
      <c r="K137" s="119"/>
      <c r="L137" s="98"/>
      <c r="M137" s="101"/>
      <c r="O137" s="100"/>
      <c r="P137" s="119" t="str">
        <f>IF('Temperature in bundle'!$P$4="Current = 1A per pair",2,IF($A137="","",('Temperature in bundle'!$Q$6-('Temperature in bundle'!$Q$6^2-4*(O137+Q$7)*'Temperature in bundle'!$Q$7)^0.5)/2/(O137+Q$7)))</f>
        <v/>
      </c>
      <c r="Q137" s="98"/>
      <c r="R137" s="101"/>
      <c r="T137" s="100"/>
      <c r="U137" s="119" t="str">
        <f>IF('Temperature in bundle'!$P$4="Current = 1A per pair",2,IF($A137="","",('Temperature in bundle'!$Q$6-('Temperature in bundle'!$Q$6^2-4*(T137+V$7)*'Temperature in bundle'!$Q$7)^0.5)/2/(T137+V$7)))</f>
        <v/>
      </c>
      <c r="V137" s="98"/>
      <c r="W137" s="101"/>
      <c r="Y137" s="100"/>
      <c r="Z137" s="119" t="str">
        <f>IF('Temperature in bundle'!$P$4="Current = 1A per pair",2,IF($A137="","",('Temperature in bundle'!$Q$6-('Temperature in bundle'!$Q$6^2-4*(Y137+AA$7)*'Temperature in bundle'!$Q$7)^0.5)/2/(Y137+AA$7)))</f>
        <v/>
      </c>
      <c r="AA137" s="98"/>
      <c r="AB137" s="101"/>
    </row>
    <row r="138" spans="2:28">
      <c r="B138" s="113"/>
      <c r="C138" s="113"/>
      <c r="D138" s="113"/>
      <c r="E138" s="113"/>
      <c r="F138" s="113"/>
      <c r="G138" s="113"/>
      <c r="J138" s="116"/>
      <c r="K138" s="119"/>
      <c r="L138" s="98"/>
      <c r="M138" s="101"/>
      <c r="O138" s="100"/>
      <c r="P138" s="119" t="str">
        <f>IF('Temperature in bundle'!$P$4="Current = 1A per pair",2,IF($A138="","",('Temperature in bundle'!$Q$6-('Temperature in bundle'!$Q$6^2-4*(O138+Q$7)*'Temperature in bundle'!$Q$7)^0.5)/2/(O138+Q$7)))</f>
        <v/>
      </c>
      <c r="Q138" s="98"/>
      <c r="R138" s="101"/>
      <c r="T138" s="100"/>
      <c r="U138" s="119" t="str">
        <f>IF('Temperature in bundle'!$P$4="Current = 1A per pair",2,IF($A138="","",('Temperature in bundle'!$Q$6-('Temperature in bundle'!$Q$6^2-4*(T138+V$7)*'Temperature in bundle'!$Q$7)^0.5)/2/(T138+V$7)))</f>
        <v/>
      </c>
      <c r="V138" s="98"/>
      <c r="W138" s="101"/>
      <c r="Y138" s="100"/>
      <c r="Z138" s="119" t="str">
        <f>IF('Temperature in bundle'!$P$4="Current = 1A per pair",2,IF($A138="","",('Temperature in bundle'!$Q$6-('Temperature in bundle'!$Q$6^2-4*(Y138+AA$7)*'Temperature in bundle'!$Q$7)^0.5)/2/(Y138+AA$7)))</f>
        <v/>
      </c>
      <c r="AA138" s="98"/>
      <c r="AB138" s="101"/>
    </row>
    <row r="139" spans="2:28">
      <c r="B139" s="113"/>
      <c r="C139" s="113"/>
      <c r="D139" s="113"/>
      <c r="E139" s="113"/>
      <c r="F139" s="113"/>
      <c r="G139" s="113"/>
      <c r="J139" s="116"/>
      <c r="K139" s="119"/>
      <c r="L139" s="98"/>
      <c r="M139" s="101"/>
      <c r="O139" s="100"/>
      <c r="P139" s="119" t="str">
        <f>IF('Temperature in bundle'!$P$4="Current = 1A per pair",2,IF($A139="","",('Temperature in bundle'!$Q$6-('Temperature in bundle'!$Q$6^2-4*(O139+Q$7)*'Temperature in bundle'!$Q$7)^0.5)/2/(O139+Q$7)))</f>
        <v/>
      </c>
      <c r="Q139" s="98"/>
      <c r="R139" s="101"/>
      <c r="T139" s="100"/>
      <c r="U139" s="119" t="str">
        <f>IF('Temperature in bundle'!$P$4="Current = 1A per pair",2,IF($A139="","",('Temperature in bundle'!$Q$6-('Temperature in bundle'!$Q$6^2-4*(T139+V$7)*'Temperature in bundle'!$Q$7)^0.5)/2/(T139+V$7)))</f>
        <v/>
      </c>
      <c r="V139" s="98"/>
      <c r="W139" s="101"/>
      <c r="Y139" s="100"/>
      <c r="Z139" s="119" t="str">
        <f>IF('Temperature in bundle'!$P$4="Current = 1A per pair",2,IF($A139="","",('Temperature in bundle'!$Q$6-('Temperature in bundle'!$Q$6^2-4*(Y139+AA$7)*'Temperature in bundle'!$Q$7)^0.5)/2/(Y139+AA$7)))</f>
        <v/>
      </c>
      <c r="AA139" s="98"/>
      <c r="AB139" s="101"/>
    </row>
    <row r="140" spans="2:28">
      <c r="B140" s="113"/>
      <c r="C140" s="113"/>
      <c r="D140" s="113"/>
      <c r="E140" s="113"/>
      <c r="F140" s="113"/>
      <c r="G140" s="113"/>
      <c r="J140" s="116"/>
      <c r="K140" s="119"/>
      <c r="L140" s="98"/>
      <c r="M140" s="101"/>
      <c r="O140" s="100"/>
      <c r="P140" s="119" t="str">
        <f>IF('Temperature in bundle'!$P$4="Current = 1A per pair",2,IF($A140="","",('Temperature in bundle'!$Q$6-('Temperature in bundle'!$Q$6^2-4*(O140+Q$7)*'Temperature in bundle'!$Q$7)^0.5)/2/(O140+Q$7)))</f>
        <v/>
      </c>
      <c r="Q140" s="98"/>
      <c r="R140" s="101"/>
      <c r="T140" s="100"/>
      <c r="U140" s="119" t="str">
        <f>IF('Temperature in bundle'!$P$4="Current = 1A per pair",2,IF($A140="","",('Temperature in bundle'!$Q$6-('Temperature in bundle'!$Q$6^2-4*(T140+V$7)*'Temperature in bundle'!$Q$7)^0.5)/2/(T140+V$7)))</f>
        <v/>
      </c>
      <c r="V140" s="98"/>
      <c r="W140" s="101"/>
      <c r="Y140" s="100"/>
      <c r="Z140" s="119" t="str">
        <f>IF('Temperature in bundle'!$P$4="Current = 1A per pair",2,IF($A140="","",('Temperature in bundle'!$Q$6-('Temperature in bundle'!$Q$6^2-4*(Y140+AA$7)*'Temperature in bundle'!$Q$7)^0.5)/2/(Y140+AA$7)))</f>
        <v/>
      </c>
      <c r="AA140" s="98"/>
      <c r="AB140" s="101"/>
    </row>
    <row r="141" spans="2:28">
      <c r="B141" s="113"/>
      <c r="C141" s="113"/>
      <c r="D141" s="113"/>
      <c r="E141" s="113"/>
      <c r="F141" s="113"/>
      <c r="G141" s="113"/>
      <c r="J141" s="116"/>
      <c r="K141" s="119"/>
      <c r="L141" s="98"/>
      <c r="M141" s="101"/>
      <c r="O141" s="100"/>
      <c r="P141" s="119" t="str">
        <f>IF('Temperature in bundle'!$P$4="Current = 1A per pair",2,IF($A141="","",('Temperature in bundle'!$Q$6-('Temperature in bundle'!$Q$6^2-4*(O141+Q$7)*'Temperature in bundle'!$Q$7)^0.5)/2/(O141+Q$7)))</f>
        <v/>
      </c>
      <c r="Q141" s="98"/>
      <c r="R141" s="101"/>
      <c r="T141" s="100"/>
      <c r="U141" s="119" t="str">
        <f>IF('Temperature in bundle'!$P$4="Current = 1A per pair",2,IF($A141="","",('Temperature in bundle'!$Q$6-('Temperature in bundle'!$Q$6^2-4*(T141+V$7)*'Temperature in bundle'!$Q$7)^0.5)/2/(T141+V$7)))</f>
        <v/>
      </c>
      <c r="V141" s="98"/>
      <c r="W141" s="101"/>
      <c r="Y141" s="100"/>
      <c r="Z141" s="119" t="str">
        <f>IF('Temperature in bundle'!$P$4="Current = 1A per pair",2,IF($A141="","",('Temperature in bundle'!$Q$6-('Temperature in bundle'!$Q$6^2-4*(Y141+AA$7)*'Temperature in bundle'!$Q$7)^0.5)/2/(Y141+AA$7)))</f>
        <v/>
      </c>
      <c r="AA141" s="98"/>
      <c r="AB141" s="101"/>
    </row>
    <row r="142" spans="2:28">
      <c r="B142" s="113"/>
      <c r="C142" s="113"/>
      <c r="D142" s="113"/>
      <c r="E142" s="113"/>
      <c r="F142" s="113"/>
      <c r="G142" s="113"/>
      <c r="J142" s="116"/>
      <c r="K142" s="119"/>
      <c r="L142" s="98"/>
      <c r="M142" s="101"/>
      <c r="O142" s="100"/>
      <c r="P142" s="119" t="str">
        <f>IF('Temperature in bundle'!$P$4="Current = 1A per pair",2,IF($A142="","",('Temperature in bundle'!$Q$6-('Temperature in bundle'!$Q$6^2-4*(O142+Q$7)*'Temperature in bundle'!$Q$7)^0.5)/2/(O142+Q$7)))</f>
        <v/>
      </c>
      <c r="Q142" s="98"/>
      <c r="R142" s="101"/>
      <c r="T142" s="100"/>
      <c r="U142" s="119" t="str">
        <f>IF('Temperature in bundle'!$P$4="Current = 1A per pair",2,IF($A142="","",('Temperature in bundle'!$Q$6-('Temperature in bundle'!$Q$6^2-4*(T142+V$7)*'Temperature in bundle'!$Q$7)^0.5)/2/(T142+V$7)))</f>
        <v/>
      </c>
      <c r="V142" s="98"/>
      <c r="W142" s="101"/>
      <c r="Y142" s="100"/>
      <c r="Z142" s="119" t="str">
        <f>IF('Temperature in bundle'!$P$4="Current = 1A per pair",2,IF($A142="","",('Temperature in bundle'!$Q$6-('Temperature in bundle'!$Q$6^2-4*(Y142+AA$7)*'Temperature in bundle'!$Q$7)^0.5)/2/(Y142+AA$7)))</f>
        <v/>
      </c>
      <c r="AA142" s="98"/>
      <c r="AB142" s="101"/>
    </row>
    <row r="143" spans="2:28">
      <c r="B143" s="113"/>
      <c r="C143" s="113"/>
      <c r="D143" s="113"/>
      <c r="E143" s="113"/>
      <c r="F143" s="113"/>
      <c r="G143" s="113"/>
      <c r="J143" s="116"/>
      <c r="K143" s="119"/>
      <c r="L143" s="98"/>
      <c r="M143" s="101"/>
      <c r="O143" s="100"/>
      <c r="P143" s="119" t="str">
        <f>IF('Temperature in bundle'!$P$4="Current = 1A per pair",2,IF($A143="","",('Temperature in bundle'!$Q$6-('Temperature in bundle'!$Q$6^2-4*(O143+Q$7)*'Temperature in bundle'!$Q$7)^0.5)/2/(O143+Q$7)))</f>
        <v/>
      </c>
      <c r="Q143" s="98"/>
      <c r="R143" s="101"/>
      <c r="T143" s="100"/>
      <c r="U143" s="119" t="str">
        <f>IF('Temperature in bundle'!$P$4="Current = 1A per pair",2,IF($A143="","",('Temperature in bundle'!$Q$6-('Temperature in bundle'!$Q$6^2-4*(T143+V$7)*'Temperature in bundle'!$Q$7)^0.5)/2/(T143+V$7)))</f>
        <v/>
      </c>
      <c r="V143" s="98"/>
      <c r="W143" s="101"/>
      <c r="Y143" s="100"/>
      <c r="Z143" s="119" t="str">
        <f>IF('Temperature in bundle'!$P$4="Current = 1A per pair",2,IF($A143="","",('Temperature in bundle'!$Q$6-('Temperature in bundle'!$Q$6^2-4*(Y143+AA$7)*'Temperature in bundle'!$Q$7)^0.5)/2/(Y143+AA$7)))</f>
        <v/>
      </c>
      <c r="AA143" s="98"/>
      <c r="AB143" s="101"/>
    </row>
    <row r="144" spans="2:28">
      <c r="B144" s="113"/>
      <c r="C144" s="113"/>
      <c r="D144" s="113"/>
      <c r="E144" s="113"/>
      <c r="F144" s="113"/>
      <c r="G144" s="113"/>
      <c r="J144" s="116"/>
      <c r="K144" s="119"/>
      <c r="L144" s="98"/>
      <c r="M144" s="101"/>
      <c r="O144" s="100"/>
      <c r="P144" s="119" t="str">
        <f>IF('Temperature in bundle'!$P$4="Current = 1A per pair",2,IF($A144="","",('Temperature in bundle'!$Q$6-('Temperature in bundle'!$Q$6^2-4*(O144+Q$7)*'Temperature in bundle'!$Q$7)^0.5)/2/(O144+Q$7)))</f>
        <v/>
      </c>
      <c r="Q144" s="98"/>
      <c r="R144" s="101"/>
      <c r="T144" s="100"/>
      <c r="U144" s="119" t="str">
        <f>IF('Temperature in bundle'!$P$4="Current = 1A per pair",2,IF($A144="","",('Temperature in bundle'!$Q$6-('Temperature in bundle'!$Q$6^2-4*(T144+V$7)*'Temperature in bundle'!$Q$7)^0.5)/2/(T144+V$7)))</f>
        <v/>
      </c>
      <c r="V144" s="98"/>
      <c r="W144" s="101"/>
      <c r="Y144" s="100"/>
      <c r="Z144" s="119" t="str">
        <f>IF('Temperature in bundle'!$P$4="Current = 1A per pair",2,IF($A144="","",('Temperature in bundle'!$Q$6-('Temperature in bundle'!$Q$6^2-4*(Y144+AA$7)*'Temperature in bundle'!$Q$7)^0.5)/2/(Y144+AA$7)))</f>
        <v/>
      </c>
      <c r="AA144" s="98"/>
      <c r="AB144" s="101"/>
    </row>
    <row r="145" spans="2:28">
      <c r="B145" s="113"/>
      <c r="C145" s="113"/>
      <c r="D145" s="113"/>
      <c r="E145" s="113"/>
      <c r="F145" s="113"/>
      <c r="G145" s="113"/>
      <c r="J145" s="116"/>
      <c r="K145" s="119"/>
      <c r="L145" s="98"/>
      <c r="M145" s="101"/>
      <c r="O145" s="100"/>
      <c r="P145" s="119" t="str">
        <f>IF('Temperature in bundle'!$P$4="Current = 1A per pair",2,IF($A145="","",('Temperature in bundle'!$Q$6-('Temperature in bundle'!$Q$6^2-4*(O145+Q$7)*'Temperature in bundle'!$Q$7)^0.5)/2/(O145+Q$7)))</f>
        <v/>
      </c>
      <c r="Q145" s="98"/>
      <c r="R145" s="101"/>
      <c r="T145" s="100"/>
      <c r="U145" s="119" t="str">
        <f>IF('Temperature in bundle'!$P$4="Current = 1A per pair",2,IF($A145="","",('Temperature in bundle'!$Q$6-('Temperature in bundle'!$Q$6^2-4*(T145+V$7)*'Temperature in bundle'!$Q$7)^0.5)/2/(T145+V$7)))</f>
        <v/>
      </c>
      <c r="V145" s="98"/>
      <c r="W145" s="101"/>
      <c r="Y145" s="100"/>
      <c r="Z145" s="119" t="str">
        <f>IF('Temperature in bundle'!$P$4="Current = 1A per pair",2,IF($A145="","",('Temperature in bundle'!$Q$6-('Temperature in bundle'!$Q$6^2-4*(Y145+AA$7)*'Temperature in bundle'!$Q$7)^0.5)/2/(Y145+AA$7)))</f>
        <v/>
      </c>
      <c r="AA145" s="98"/>
      <c r="AB145" s="101"/>
    </row>
    <row r="146" spans="2:28">
      <c r="B146" s="113"/>
      <c r="C146" s="113"/>
      <c r="D146" s="113"/>
      <c r="E146" s="113"/>
      <c r="F146" s="113"/>
      <c r="G146" s="113"/>
      <c r="J146" s="116"/>
      <c r="K146" s="119"/>
      <c r="L146" s="98"/>
      <c r="M146" s="101"/>
      <c r="O146" s="100"/>
      <c r="P146" s="119" t="str">
        <f>IF('Temperature in bundle'!$P$4="Current = 1A per pair",2,IF($A146="","",('Temperature in bundle'!$Q$6-('Temperature in bundle'!$Q$6^2-4*(O146+Q$7)*'Temperature in bundle'!$Q$7)^0.5)/2/(O146+Q$7)))</f>
        <v/>
      </c>
      <c r="Q146" s="98"/>
      <c r="R146" s="101"/>
      <c r="T146" s="100"/>
      <c r="U146" s="119" t="str">
        <f>IF('Temperature in bundle'!$P$4="Current = 1A per pair",2,IF($A146="","",('Temperature in bundle'!$Q$6-('Temperature in bundle'!$Q$6^2-4*(T146+V$7)*'Temperature in bundle'!$Q$7)^0.5)/2/(T146+V$7)))</f>
        <v/>
      </c>
      <c r="V146" s="98"/>
      <c r="W146" s="101"/>
      <c r="Y146" s="100"/>
      <c r="Z146" s="119" t="str">
        <f>IF('Temperature in bundle'!$P$4="Current = 1A per pair",2,IF($A146="","",('Temperature in bundle'!$Q$6-('Temperature in bundle'!$Q$6^2-4*(Y146+AA$7)*'Temperature in bundle'!$Q$7)^0.5)/2/(Y146+AA$7)))</f>
        <v/>
      </c>
      <c r="AA146" s="98"/>
      <c r="AB146" s="101"/>
    </row>
    <row r="147" spans="2:28">
      <c r="B147" s="113"/>
      <c r="C147" s="113"/>
      <c r="D147" s="113"/>
      <c r="E147" s="113"/>
      <c r="F147" s="113"/>
      <c r="G147" s="113"/>
      <c r="J147" s="116"/>
      <c r="K147" s="119"/>
      <c r="L147" s="98"/>
      <c r="M147" s="101"/>
      <c r="O147" s="100"/>
      <c r="P147" s="119" t="str">
        <f>IF('Temperature in bundle'!$P$4="Current = 1A per pair",2,IF($A147="","",('Temperature in bundle'!$Q$6-('Temperature in bundle'!$Q$6^2-4*(O147+Q$7)*'Temperature in bundle'!$Q$7)^0.5)/2/(O147+Q$7)))</f>
        <v/>
      </c>
      <c r="Q147" s="98"/>
      <c r="R147" s="101"/>
      <c r="T147" s="100"/>
      <c r="U147" s="119" t="str">
        <f>IF('Temperature in bundle'!$P$4="Current = 1A per pair",2,IF($A147="","",('Temperature in bundle'!$Q$6-('Temperature in bundle'!$Q$6^2-4*(T147+V$7)*'Temperature in bundle'!$Q$7)^0.5)/2/(T147+V$7)))</f>
        <v/>
      </c>
      <c r="V147" s="98"/>
      <c r="W147" s="101"/>
      <c r="Y147" s="100"/>
      <c r="Z147" s="119" t="str">
        <f>IF('Temperature in bundle'!$P$4="Current = 1A per pair",2,IF($A147="","",('Temperature in bundle'!$Q$6-('Temperature in bundle'!$Q$6^2-4*(Y147+AA$7)*'Temperature in bundle'!$Q$7)^0.5)/2/(Y147+AA$7)))</f>
        <v/>
      </c>
      <c r="AA147" s="98"/>
      <c r="AB147" s="101"/>
    </row>
    <row r="148" spans="2:28">
      <c r="B148" s="113"/>
      <c r="C148" s="113"/>
      <c r="D148" s="113"/>
      <c r="E148" s="113"/>
      <c r="F148" s="113"/>
      <c r="G148" s="113"/>
      <c r="J148" s="116"/>
      <c r="K148" s="119"/>
      <c r="L148" s="98"/>
      <c r="M148" s="101"/>
      <c r="O148" s="100"/>
      <c r="P148" s="119" t="str">
        <f>IF('Temperature in bundle'!$P$4="Current = 1A per pair",2,IF($A148="","",('Temperature in bundle'!$Q$6-('Temperature in bundle'!$Q$6^2-4*(O148+Q$7)*'Temperature in bundle'!$Q$7)^0.5)/2/(O148+Q$7)))</f>
        <v/>
      </c>
      <c r="Q148" s="98"/>
      <c r="R148" s="101"/>
      <c r="T148" s="100"/>
      <c r="U148" s="119" t="str">
        <f>IF('Temperature in bundle'!$P$4="Current = 1A per pair",2,IF($A148="","",('Temperature in bundle'!$Q$6-('Temperature in bundle'!$Q$6^2-4*(T148+V$7)*'Temperature in bundle'!$Q$7)^0.5)/2/(T148+V$7)))</f>
        <v/>
      </c>
      <c r="V148" s="98"/>
      <c r="W148" s="101"/>
      <c r="Y148" s="100"/>
      <c r="Z148" s="119" t="str">
        <f>IF('Temperature in bundle'!$P$4="Current = 1A per pair",2,IF($A148="","",('Temperature in bundle'!$Q$6-('Temperature in bundle'!$Q$6^2-4*(Y148+AA$7)*'Temperature in bundle'!$Q$7)^0.5)/2/(Y148+AA$7)))</f>
        <v/>
      </c>
      <c r="AA148" s="98"/>
      <c r="AB148" s="101"/>
    </row>
    <row r="149" spans="2:28">
      <c r="B149" s="113"/>
      <c r="C149" s="113"/>
      <c r="D149" s="113"/>
      <c r="E149" s="113"/>
      <c r="F149" s="113"/>
      <c r="G149" s="113"/>
      <c r="J149" s="116"/>
      <c r="K149" s="119"/>
      <c r="L149" s="98"/>
      <c r="M149" s="101"/>
      <c r="O149" s="100"/>
      <c r="P149" s="119" t="str">
        <f>IF('Temperature in bundle'!$P$4="Current = 1A per pair",2,IF($A149="","",('Temperature in bundle'!$Q$6-('Temperature in bundle'!$Q$6^2-4*(O149+Q$7)*'Temperature in bundle'!$Q$7)^0.5)/2/(O149+Q$7)))</f>
        <v/>
      </c>
      <c r="Q149" s="98"/>
      <c r="R149" s="101"/>
      <c r="T149" s="100"/>
      <c r="U149" s="119" t="str">
        <f>IF('Temperature in bundle'!$P$4="Current = 1A per pair",2,IF($A149="","",('Temperature in bundle'!$Q$6-('Temperature in bundle'!$Q$6^2-4*(T149+V$7)*'Temperature in bundle'!$Q$7)^0.5)/2/(T149+V$7)))</f>
        <v/>
      </c>
      <c r="V149" s="98"/>
      <c r="W149" s="101"/>
      <c r="Y149" s="100"/>
      <c r="Z149" s="119" t="str">
        <f>IF('Temperature in bundle'!$P$4="Current = 1A per pair",2,IF($A149="","",('Temperature in bundle'!$Q$6-('Temperature in bundle'!$Q$6^2-4*(Y149+AA$7)*'Temperature in bundle'!$Q$7)^0.5)/2/(Y149+AA$7)))</f>
        <v/>
      </c>
      <c r="AA149" s="98"/>
      <c r="AB149" s="101"/>
    </row>
    <row r="150" spans="2:28">
      <c r="B150" s="113"/>
      <c r="C150" s="113"/>
      <c r="D150" s="113"/>
      <c r="E150" s="113"/>
      <c r="F150" s="113"/>
      <c r="G150" s="113"/>
      <c r="J150" s="116"/>
      <c r="K150" s="119"/>
      <c r="L150" s="98"/>
      <c r="M150" s="101"/>
      <c r="O150" s="100"/>
      <c r="P150" s="119" t="str">
        <f>IF('Temperature in bundle'!$P$4="Current = 1A per pair",2,IF($A150="","",('Temperature in bundle'!$Q$6-('Temperature in bundle'!$Q$6^2-4*(O150+Q$7)*'Temperature in bundle'!$Q$7)^0.5)/2/(O150+Q$7)))</f>
        <v/>
      </c>
      <c r="Q150" s="98"/>
      <c r="R150" s="101"/>
      <c r="T150" s="100"/>
      <c r="U150" s="119" t="str">
        <f>IF('Temperature in bundle'!$P$4="Current = 1A per pair",2,IF($A150="","",('Temperature in bundle'!$Q$6-('Temperature in bundle'!$Q$6^2-4*(T150+V$7)*'Temperature in bundle'!$Q$7)^0.5)/2/(T150+V$7)))</f>
        <v/>
      </c>
      <c r="V150" s="98"/>
      <c r="W150" s="101"/>
      <c r="Y150" s="100"/>
      <c r="Z150" s="119" t="str">
        <f>IF('Temperature in bundle'!$P$4="Current = 1A per pair",2,IF($A150="","",('Temperature in bundle'!$Q$6-('Temperature in bundle'!$Q$6^2-4*(Y150+AA$7)*'Temperature in bundle'!$Q$7)^0.5)/2/(Y150+AA$7)))</f>
        <v/>
      </c>
      <c r="AA150" s="98"/>
      <c r="AB150" s="101"/>
    </row>
    <row r="151" spans="2:28">
      <c r="B151" s="113"/>
      <c r="C151" s="113"/>
      <c r="D151" s="113"/>
      <c r="E151" s="113"/>
      <c r="F151" s="113"/>
      <c r="G151" s="113"/>
      <c r="J151" s="116"/>
      <c r="K151" s="119"/>
      <c r="L151" s="98"/>
      <c r="M151" s="101"/>
      <c r="O151" s="100"/>
      <c r="P151" s="119" t="str">
        <f>IF('Temperature in bundle'!$P$4="Current = 1A per pair",2,IF($A151="","",('Temperature in bundle'!$Q$6-('Temperature in bundle'!$Q$6^2-4*(O151+Q$7)*'Temperature in bundle'!$Q$7)^0.5)/2/(O151+Q$7)))</f>
        <v/>
      </c>
      <c r="Q151" s="98"/>
      <c r="R151" s="101"/>
      <c r="T151" s="100"/>
      <c r="U151" s="119" t="str">
        <f>IF('Temperature in bundle'!$P$4="Current = 1A per pair",2,IF($A151="","",('Temperature in bundle'!$Q$6-('Temperature in bundle'!$Q$6^2-4*(T151+V$7)*'Temperature in bundle'!$Q$7)^0.5)/2/(T151+V$7)))</f>
        <v/>
      </c>
      <c r="V151" s="98"/>
      <c r="W151" s="101"/>
      <c r="Y151" s="100"/>
      <c r="Z151" s="119" t="str">
        <f>IF('Temperature in bundle'!$P$4="Current = 1A per pair",2,IF($A151="","",('Temperature in bundle'!$Q$6-('Temperature in bundle'!$Q$6^2-4*(Y151+AA$7)*'Temperature in bundle'!$Q$7)^0.5)/2/(Y151+AA$7)))</f>
        <v/>
      </c>
      <c r="AA151" s="98"/>
      <c r="AB151" s="101"/>
    </row>
    <row r="152" spans="2:28">
      <c r="B152" s="113"/>
      <c r="C152" s="113"/>
      <c r="D152" s="113"/>
      <c r="E152" s="113"/>
      <c r="F152" s="113"/>
      <c r="G152" s="113"/>
      <c r="J152" s="116"/>
      <c r="K152" s="119"/>
      <c r="L152" s="98"/>
      <c r="M152" s="101"/>
      <c r="O152" s="100"/>
      <c r="P152" s="119" t="str">
        <f>IF('Temperature in bundle'!$P$4="Current = 1A per pair",2,IF($A152="","",('Temperature in bundle'!$Q$6-('Temperature in bundle'!$Q$6^2-4*(O152+Q$7)*'Temperature in bundle'!$Q$7)^0.5)/2/(O152+Q$7)))</f>
        <v/>
      </c>
      <c r="Q152" s="98"/>
      <c r="R152" s="101"/>
      <c r="T152" s="100"/>
      <c r="U152" s="119" t="str">
        <f>IF('Temperature in bundle'!$P$4="Current = 1A per pair",2,IF($A152="","",('Temperature in bundle'!$Q$6-('Temperature in bundle'!$Q$6^2-4*(T152+V$7)*'Temperature in bundle'!$Q$7)^0.5)/2/(T152+V$7)))</f>
        <v/>
      </c>
      <c r="V152" s="98"/>
      <c r="W152" s="101"/>
      <c r="Y152" s="100"/>
      <c r="Z152" s="119" t="str">
        <f>IF('Temperature in bundle'!$P$4="Current = 1A per pair",2,IF($A152="","",('Temperature in bundle'!$Q$6-('Temperature in bundle'!$Q$6^2-4*(Y152+AA$7)*'Temperature in bundle'!$Q$7)^0.5)/2/(Y152+AA$7)))</f>
        <v/>
      </c>
      <c r="AA152" s="98"/>
      <c r="AB152" s="101"/>
    </row>
    <row r="153" spans="2:28">
      <c r="B153" s="113"/>
      <c r="C153" s="113"/>
      <c r="D153" s="113"/>
      <c r="E153" s="113"/>
      <c r="F153" s="113"/>
      <c r="G153" s="113"/>
      <c r="J153" s="116"/>
      <c r="K153" s="119"/>
      <c r="L153" s="98"/>
      <c r="M153" s="101"/>
      <c r="O153" s="100"/>
      <c r="P153" s="119" t="str">
        <f>IF('Temperature in bundle'!$P$4="Current = 1A per pair",2,IF($A153="","",('Temperature in bundle'!$Q$6-('Temperature in bundle'!$Q$6^2-4*(O153+Q$7)*'Temperature in bundle'!$Q$7)^0.5)/2/(O153+Q$7)))</f>
        <v/>
      </c>
      <c r="Q153" s="98"/>
      <c r="R153" s="101"/>
      <c r="T153" s="100"/>
      <c r="U153" s="119" t="str">
        <f>IF('Temperature in bundle'!$P$4="Current = 1A per pair",2,IF($A153="","",('Temperature in bundle'!$Q$6-('Temperature in bundle'!$Q$6^2-4*(T153+V$7)*'Temperature in bundle'!$Q$7)^0.5)/2/(T153+V$7)))</f>
        <v/>
      </c>
      <c r="V153" s="98"/>
      <c r="W153" s="101"/>
      <c r="Y153" s="100"/>
      <c r="Z153" s="119" t="str">
        <f>IF('Temperature in bundle'!$P$4="Current = 1A per pair",2,IF($A153="","",('Temperature in bundle'!$Q$6-('Temperature in bundle'!$Q$6^2-4*(Y153+AA$7)*'Temperature in bundle'!$Q$7)^0.5)/2/(Y153+AA$7)))</f>
        <v/>
      </c>
      <c r="AA153" s="98"/>
      <c r="AB153" s="101"/>
    </row>
    <row r="154" spans="2:28">
      <c r="B154" s="113"/>
      <c r="C154" s="113"/>
      <c r="D154" s="113"/>
      <c r="E154" s="113"/>
      <c r="F154" s="113"/>
      <c r="G154" s="113"/>
      <c r="J154" s="116"/>
      <c r="K154" s="119"/>
      <c r="L154" s="98"/>
      <c r="M154" s="101"/>
      <c r="O154" s="100"/>
      <c r="P154" s="119" t="str">
        <f>IF('Temperature in bundle'!$P$4="Current = 1A per pair",2,IF($A154="","",('Temperature in bundle'!$Q$6-('Temperature in bundle'!$Q$6^2-4*(O154+Q$7)*'Temperature in bundle'!$Q$7)^0.5)/2/(O154+Q$7)))</f>
        <v/>
      </c>
      <c r="Q154" s="98"/>
      <c r="R154" s="101"/>
      <c r="T154" s="100"/>
      <c r="U154" s="119" t="str">
        <f>IF('Temperature in bundle'!$P$4="Current = 1A per pair",2,IF($A154="","",('Temperature in bundle'!$Q$6-('Temperature in bundle'!$Q$6^2-4*(T154+V$7)*'Temperature in bundle'!$Q$7)^0.5)/2/(T154+V$7)))</f>
        <v/>
      </c>
      <c r="V154" s="98"/>
      <c r="W154" s="101"/>
      <c r="Y154" s="100"/>
      <c r="Z154" s="119" t="str">
        <f>IF('Temperature in bundle'!$P$4="Current = 1A per pair",2,IF($A154="","",('Temperature in bundle'!$Q$6-('Temperature in bundle'!$Q$6^2-4*(Y154+AA$7)*'Temperature in bundle'!$Q$7)^0.5)/2/(Y154+AA$7)))</f>
        <v/>
      </c>
      <c r="AA154" s="98"/>
      <c r="AB154" s="101"/>
    </row>
    <row r="155" spans="2:28">
      <c r="B155" s="113"/>
      <c r="C155" s="113"/>
      <c r="D155" s="113"/>
      <c r="E155" s="113"/>
      <c r="F155" s="113"/>
      <c r="G155" s="113"/>
      <c r="J155" s="116"/>
      <c r="K155" s="119"/>
      <c r="L155" s="98"/>
      <c r="M155" s="101"/>
      <c r="O155" s="100"/>
      <c r="P155" s="119" t="str">
        <f>IF('Temperature in bundle'!$P$4="Current = 1A per pair",2,IF($A155="","",('Temperature in bundle'!$Q$6-('Temperature in bundle'!$Q$6^2-4*(O155+Q$7)*'Temperature in bundle'!$Q$7)^0.5)/2/(O155+Q$7)))</f>
        <v/>
      </c>
      <c r="Q155" s="98"/>
      <c r="R155" s="101"/>
      <c r="T155" s="100"/>
      <c r="U155" s="119" t="str">
        <f>IF('Temperature in bundle'!$P$4="Current = 1A per pair",2,IF($A155="","",('Temperature in bundle'!$Q$6-('Temperature in bundle'!$Q$6^2-4*(T155+V$7)*'Temperature in bundle'!$Q$7)^0.5)/2/(T155+V$7)))</f>
        <v/>
      </c>
      <c r="V155" s="98"/>
      <c r="W155" s="101"/>
      <c r="Y155" s="100"/>
      <c r="Z155" s="119" t="str">
        <f>IF('Temperature in bundle'!$P$4="Current = 1A per pair",2,IF($A155="","",('Temperature in bundle'!$Q$6-('Temperature in bundle'!$Q$6^2-4*(Y155+AA$7)*'Temperature in bundle'!$Q$7)^0.5)/2/(Y155+AA$7)))</f>
        <v/>
      </c>
      <c r="AA155" s="98"/>
      <c r="AB155" s="101"/>
    </row>
    <row r="156" spans="2:28">
      <c r="B156" s="113"/>
      <c r="C156" s="113"/>
      <c r="D156" s="113"/>
      <c r="E156" s="113"/>
      <c r="F156" s="113"/>
      <c r="G156" s="113"/>
      <c r="J156" s="116"/>
      <c r="K156" s="119"/>
      <c r="L156" s="98"/>
      <c r="M156" s="101"/>
      <c r="O156" s="100"/>
      <c r="P156" s="119" t="str">
        <f>IF('Temperature in bundle'!$P$4="Current = 1A per pair",2,IF($A156="","",('Temperature in bundle'!$Q$6-('Temperature in bundle'!$Q$6^2-4*(O156+Q$7)*'Temperature in bundle'!$Q$7)^0.5)/2/(O156+Q$7)))</f>
        <v/>
      </c>
      <c r="Q156" s="98"/>
      <c r="R156" s="101"/>
      <c r="T156" s="100"/>
      <c r="U156" s="119" t="str">
        <f>IF('Temperature in bundle'!$P$4="Current = 1A per pair",2,IF($A156="","",('Temperature in bundle'!$Q$6-('Temperature in bundle'!$Q$6^2-4*(T156+V$7)*'Temperature in bundle'!$Q$7)^0.5)/2/(T156+V$7)))</f>
        <v/>
      </c>
      <c r="V156" s="98"/>
      <c r="W156" s="101"/>
      <c r="Y156" s="100"/>
      <c r="Z156" s="119" t="str">
        <f>IF('Temperature in bundle'!$P$4="Current = 1A per pair",2,IF($A156="","",('Temperature in bundle'!$Q$6-('Temperature in bundle'!$Q$6^2-4*(Y156+AA$7)*'Temperature in bundle'!$Q$7)^0.5)/2/(Y156+AA$7)))</f>
        <v/>
      </c>
      <c r="AA156" s="98"/>
      <c r="AB156" s="101"/>
    </row>
    <row r="157" spans="2:28">
      <c r="B157" s="113"/>
      <c r="C157" s="113"/>
      <c r="D157" s="113"/>
      <c r="E157" s="113"/>
      <c r="F157" s="113"/>
      <c r="G157" s="113"/>
      <c r="J157" s="116"/>
      <c r="K157" s="119"/>
      <c r="L157" s="98"/>
      <c r="M157" s="101"/>
      <c r="O157" s="100"/>
      <c r="P157" s="119" t="str">
        <f>IF('Temperature in bundle'!$P$4="Current = 1A per pair",2,IF($A157="","",('Temperature in bundle'!$Q$6-('Temperature in bundle'!$Q$6^2-4*(O157+Q$7)*'Temperature in bundle'!$Q$7)^0.5)/2/(O157+Q$7)))</f>
        <v/>
      </c>
      <c r="Q157" s="98"/>
      <c r="R157" s="101"/>
      <c r="T157" s="100"/>
      <c r="U157" s="119" t="str">
        <f>IF('Temperature in bundle'!$P$4="Current = 1A per pair",2,IF($A157="","",('Temperature in bundle'!$Q$6-('Temperature in bundle'!$Q$6^2-4*(T157+V$7)*'Temperature in bundle'!$Q$7)^0.5)/2/(T157+V$7)))</f>
        <v/>
      </c>
      <c r="V157" s="98"/>
      <c r="W157" s="101"/>
      <c r="Y157" s="100"/>
      <c r="Z157" s="119" t="str">
        <f>IF('Temperature in bundle'!$P$4="Current = 1A per pair",2,IF($A157="","",('Temperature in bundle'!$Q$6-('Temperature in bundle'!$Q$6^2-4*(Y157+AA$7)*'Temperature in bundle'!$Q$7)^0.5)/2/(Y157+AA$7)))</f>
        <v/>
      </c>
      <c r="AA157" s="98"/>
      <c r="AB157" s="101"/>
    </row>
    <row r="158" spans="2:28">
      <c r="B158" s="113"/>
      <c r="C158" s="113"/>
      <c r="D158" s="113"/>
      <c r="E158" s="113"/>
      <c r="F158" s="113"/>
      <c r="G158" s="113"/>
      <c r="J158" s="116"/>
      <c r="K158" s="119"/>
      <c r="L158" s="98"/>
      <c r="M158" s="101"/>
      <c r="O158" s="100"/>
      <c r="P158" s="119" t="str">
        <f>IF('Temperature in bundle'!$P$4="Current = 1A per pair",2,IF($A158="","",('Temperature in bundle'!$Q$6-('Temperature in bundle'!$Q$6^2-4*(O158+Q$7)*'Temperature in bundle'!$Q$7)^0.5)/2/(O158+Q$7)))</f>
        <v/>
      </c>
      <c r="Q158" s="98"/>
      <c r="R158" s="101"/>
      <c r="T158" s="100"/>
      <c r="U158" s="119" t="str">
        <f>IF('Temperature in bundle'!$P$4="Current = 1A per pair",2,IF($A158="","",('Temperature in bundle'!$Q$6-('Temperature in bundle'!$Q$6^2-4*(T158+V$7)*'Temperature in bundle'!$Q$7)^0.5)/2/(T158+V$7)))</f>
        <v/>
      </c>
      <c r="V158" s="98"/>
      <c r="W158" s="101"/>
      <c r="Y158" s="100"/>
      <c r="Z158" s="119" t="str">
        <f>IF('Temperature in bundle'!$P$4="Current = 1A per pair",2,IF($A158="","",('Temperature in bundle'!$Q$6-('Temperature in bundle'!$Q$6^2-4*(Y158+AA$7)*'Temperature in bundle'!$Q$7)^0.5)/2/(Y158+AA$7)))</f>
        <v/>
      </c>
      <c r="AA158" s="98"/>
      <c r="AB158" s="101"/>
    </row>
    <row r="159" spans="2:28">
      <c r="B159" s="113"/>
      <c r="C159" s="113"/>
      <c r="D159" s="113"/>
      <c r="E159" s="113"/>
      <c r="F159" s="113"/>
      <c r="G159" s="113"/>
      <c r="J159" s="116"/>
      <c r="K159" s="119"/>
      <c r="L159" s="98"/>
      <c r="M159" s="101"/>
      <c r="O159" s="100"/>
      <c r="P159" s="119" t="str">
        <f>IF('Temperature in bundle'!$P$4="Current = 1A per pair",2,IF($A159="","",('Temperature in bundle'!$Q$6-('Temperature in bundle'!$Q$6^2-4*(O159+Q$7)*'Temperature in bundle'!$Q$7)^0.5)/2/(O159+Q$7)))</f>
        <v/>
      </c>
      <c r="Q159" s="98"/>
      <c r="R159" s="101"/>
      <c r="T159" s="100"/>
      <c r="U159" s="119" t="str">
        <f>IF('Temperature in bundle'!$P$4="Current = 1A per pair",2,IF($A159="","",('Temperature in bundle'!$Q$6-('Temperature in bundle'!$Q$6^2-4*(T159+V$7)*'Temperature in bundle'!$Q$7)^0.5)/2/(T159+V$7)))</f>
        <v/>
      </c>
      <c r="V159" s="98"/>
      <c r="W159" s="101"/>
      <c r="Y159" s="100"/>
      <c r="Z159" s="119" t="str">
        <f>IF('Temperature in bundle'!$P$4="Current = 1A per pair",2,IF($A159="","",('Temperature in bundle'!$Q$6-('Temperature in bundle'!$Q$6^2-4*(Y159+AA$7)*'Temperature in bundle'!$Q$7)^0.5)/2/(Y159+AA$7)))</f>
        <v/>
      </c>
      <c r="AA159" s="98"/>
      <c r="AB159" s="101"/>
    </row>
    <row r="160" spans="2:28">
      <c r="B160" s="113"/>
      <c r="C160" s="113"/>
      <c r="D160" s="113"/>
      <c r="E160" s="113"/>
      <c r="F160" s="113"/>
      <c r="G160" s="113"/>
      <c r="J160" s="116"/>
      <c r="K160" s="119"/>
      <c r="L160" s="98"/>
      <c r="M160" s="101"/>
      <c r="O160" s="100"/>
      <c r="P160" s="119" t="str">
        <f>IF('Temperature in bundle'!$P$4="Current = 1A per pair",2,IF($A160="","",('Temperature in bundle'!$Q$6-('Temperature in bundle'!$Q$6^2-4*(O160+Q$7)*'Temperature in bundle'!$Q$7)^0.5)/2/(O160+Q$7)))</f>
        <v/>
      </c>
      <c r="Q160" s="98"/>
      <c r="R160" s="101"/>
      <c r="T160" s="100"/>
      <c r="U160" s="119" t="str">
        <f>IF('Temperature in bundle'!$P$4="Current = 1A per pair",2,IF($A160="","",('Temperature in bundle'!$Q$6-('Temperature in bundle'!$Q$6^2-4*(T160+V$7)*'Temperature in bundle'!$Q$7)^0.5)/2/(T160+V$7)))</f>
        <v/>
      </c>
      <c r="V160" s="98"/>
      <c r="W160" s="101"/>
      <c r="Y160" s="100"/>
      <c r="Z160" s="119" t="str">
        <f>IF('Temperature in bundle'!$P$4="Current = 1A per pair",2,IF($A160="","",('Temperature in bundle'!$Q$6-('Temperature in bundle'!$Q$6^2-4*(Y160+AA$7)*'Temperature in bundle'!$Q$7)^0.5)/2/(Y160+AA$7)))</f>
        <v/>
      </c>
      <c r="AA160" s="98"/>
      <c r="AB160" s="101"/>
    </row>
    <row r="161" spans="2:28">
      <c r="B161" s="113"/>
      <c r="C161" s="113"/>
      <c r="D161" s="113"/>
      <c r="E161" s="113"/>
      <c r="F161" s="113"/>
      <c r="G161" s="113"/>
      <c r="J161" s="116"/>
      <c r="K161" s="119"/>
      <c r="L161" s="98"/>
      <c r="M161" s="101"/>
      <c r="O161" s="100"/>
      <c r="P161" s="119" t="str">
        <f>IF('Temperature in bundle'!$P$4="Current = 1A per pair",2,IF($A161="","",('Temperature in bundle'!$Q$6-('Temperature in bundle'!$Q$6^2-4*(O161+Q$7)*'Temperature in bundle'!$Q$7)^0.5)/2/(O161+Q$7)))</f>
        <v/>
      </c>
      <c r="Q161" s="98"/>
      <c r="R161" s="101"/>
      <c r="T161" s="100"/>
      <c r="U161" s="119" t="str">
        <f>IF('Temperature in bundle'!$P$4="Current = 1A per pair",2,IF($A161="","",('Temperature in bundle'!$Q$6-('Temperature in bundle'!$Q$6^2-4*(T161+V$7)*'Temperature in bundle'!$Q$7)^0.5)/2/(T161+V$7)))</f>
        <v/>
      </c>
      <c r="V161" s="98"/>
      <c r="W161" s="101"/>
      <c r="Y161" s="100"/>
      <c r="Z161" s="119" t="str">
        <f>IF('Temperature in bundle'!$P$4="Current = 1A per pair",2,IF($A161="","",('Temperature in bundle'!$Q$6-('Temperature in bundle'!$Q$6^2-4*(Y161+AA$7)*'Temperature in bundle'!$Q$7)^0.5)/2/(Y161+AA$7)))</f>
        <v/>
      </c>
      <c r="AA161" s="98"/>
      <c r="AB161" s="101"/>
    </row>
    <row r="162" spans="2:28">
      <c r="B162" s="113"/>
      <c r="C162" s="113"/>
      <c r="D162" s="113"/>
      <c r="E162" s="113"/>
      <c r="F162" s="113"/>
      <c r="G162" s="113"/>
      <c r="J162" s="116"/>
      <c r="K162" s="119"/>
      <c r="L162" s="98"/>
      <c r="M162" s="101"/>
      <c r="O162" s="100"/>
      <c r="P162" s="119" t="str">
        <f>IF('Temperature in bundle'!$P$4="Current = 1A per pair",2,IF($A162="","",('Temperature in bundle'!$Q$6-('Temperature in bundle'!$Q$6^2-4*(O162+Q$7)*'Temperature in bundle'!$Q$7)^0.5)/2/(O162+Q$7)))</f>
        <v/>
      </c>
      <c r="Q162" s="98"/>
      <c r="R162" s="101"/>
      <c r="T162" s="100"/>
      <c r="U162" s="119" t="str">
        <f>IF('Temperature in bundle'!$P$4="Current = 1A per pair",2,IF($A162="","",('Temperature in bundle'!$Q$6-('Temperature in bundle'!$Q$6^2-4*(T162+V$7)*'Temperature in bundle'!$Q$7)^0.5)/2/(T162+V$7)))</f>
        <v/>
      </c>
      <c r="V162" s="98"/>
      <c r="W162" s="101"/>
      <c r="Y162" s="100"/>
      <c r="Z162" s="119" t="str">
        <f>IF('Temperature in bundle'!$P$4="Current = 1A per pair",2,IF($A162="","",('Temperature in bundle'!$Q$6-('Temperature in bundle'!$Q$6^2-4*(Y162+AA$7)*'Temperature in bundle'!$Q$7)^0.5)/2/(Y162+AA$7)))</f>
        <v/>
      </c>
      <c r="AA162" s="98"/>
      <c r="AB162" s="101"/>
    </row>
    <row r="163" spans="2:28">
      <c r="B163" s="113"/>
      <c r="C163" s="113"/>
      <c r="D163" s="113"/>
      <c r="E163" s="113"/>
      <c r="F163" s="113"/>
      <c r="G163" s="113"/>
      <c r="J163" s="116"/>
      <c r="K163" s="119"/>
      <c r="L163" s="98"/>
      <c r="M163" s="101"/>
      <c r="O163" s="100"/>
      <c r="P163" s="119" t="str">
        <f>IF('Temperature in bundle'!$P$4="Current = 1A per pair",2,IF($A163="","",('Temperature in bundle'!$Q$6-('Temperature in bundle'!$Q$6^2-4*(O163+Q$7)*'Temperature in bundle'!$Q$7)^0.5)/2/(O163+Q$7)))</f>
        <v/>
      </c>
      <c r="Q163" s="98"/>
      <c r="R163" s="101"/>
      <c r="T163" s="100"/>
      <c r="U163" s="119" t="str">
        <f>IF('Temperature in bundle'!$P$4="Current = 1A per pair",2,IF($A163="","",('Temperature in bundle'!$Q$6-('Temperature in bundle'!$Q$6^2-4*(T163+V$7)*'Temperature in bundle'!$Q$7)^0.5)/2/(T163+V$7)))</f>
        <v/>
      </c>
      <c r="V163" s="98"/>
      <c r="W163" s="101"/>
      <c r="Y163" s="100"/>
      <c r="Z163" s="119" t="str">
        <f>IF('Temperature in bundle'!$P$4="Current = 1A per pair",2,IF($A163="","",('Temperature in bundle'!$Q$6-('Temperature in bundle'!$Q$6^2-4*(Y163+AA$7)*'Temperature in bundle'!$Q$7)^0.5)/2/(Y163+AA$7)))</f>
        <v/>
      </c>
      <c r="AA163" s="98"/>
      <c r="AB163" s="101"/>
    </row>
    <row r="164" spans="2:28">
      <c r="B164" s="113"/>
      <c r="C164" s="113"/>
      <c r="D164" s="113"/>
      <c r="E164" s="113"/>
      <c r="F164" s="113"/>
      <c r="G164" s="113"/>
      <c r="J164" s="116"/>
      <c r="K164" s="119"/>
      <c r="L164" s="98"/>
      <c r="M164" s="101"/>
      <c r="O164" s="100"/>
      <c r="P164" s="119" t="str">
        <f>IF('Temperature in bundle'!$P$4="Current = 1A per pair",2,IF($A164="","",('Temperature in bundle'!$Q$6-('Temperature in bundle'!$Q$6^2-4*(O164+Q$7)*'Temperature in bundle'!$Q$7)^0.5)/2/(O164+Q$7)))</f>
        <v/>
      </c>
      <c r="Q164" s="98"/>
      <c r="R164" s="101"/>
      <c r="T164" s="100"/>
      <c r="U164" s="119" t="str">
        <f>IF('Temperature in bundle'!$P$4="Current = 1A per pair",2,IF($A164="","",('Temperature in bundle'!$Q$6-('Temperature in bundle'!$Q$6^2-4*(T164+V$7)*'Temperature in bundle'!$Q$7)^0.5)/2/(T164+V$7)))</f>
        <v/>
      </c>
      <c r="V164" s="98"/>
      <c r="W164" s="101"/>
      <c r="Y164" s="100"/>
      <c r="Z164" s="119" t="str">
        <f>IF('Temperature in bundle'!$P$4="Current = 1A per pair",2,IF($A164="","",('Temperature in bundle'!$Q$6-('Temperature in bundle'!$Q$6^2-4*(Y164+AA$7)*'Temperature in bundle'!$Q$7)^0.5)/2/(Y164+AA$7)))</f>
        <v/>
      </c>
      <c r="AA164" s="98"/>
      <c r="AB164" s="101"/>
    </row>
    <row r="165" spans="2:28">
      <c r="B165" s="113"/>
      <c r="C165" s="113"/>
      <c r="D165" s="113"/>
      <c r="E165" s="113"/>
      <c r="F165" s="113"/>
      <c r="G165" s="113"/>
      <c r="J165" s="116"/>
      <c r="K165" s="119"/>
      <c r="L165" s="98"/>
      <c r="M165" s="101"/>
      <c r="O165" s="100"/>
      <c r="P165" s="119" t="str">
        <f>IF('Temperature in bundle'!$P$4="Current = 1A per pair",2,IF($A165="","",('Temperature in bundle'!$Q$6-('Temperature in bundle'!$Q$6^2-4*(O165+Q$7)*'Temperature in bundle'!$Q$7)^0.5)/2/(O165+Q$7)))</f>
        <v/>
      </c>
      <c r="Q165" s="98"/>
      <c r="R165" s="101"/>
      <c r="T165" s="100"/>
      <c r="U165" s="119" t="str">
        <f>IF('Temperature in bundle'!$P$4="Current = 1A per pair",2,IF($A165="","",('Temperature in bundle'!$Q$6-('Temperature in bundle'!$Q$6^2-4*(T165+V$7)*'Temperature in bundle'!$Q$7)^0.5)/2/(T165+V$7)))</f>
        <v/>
      </c>
      <c r="V165" s="98"/>
      <c r="W165" s="101"/>
      <c r="Y165" s="100"/>
      <c r="Z165" s="119" t="str">
        <f>IF('Temperature in bundle'!$P$4="Current = 1A per pair",2,IF($A165="","",('Temperature in bundle'!$Q$6-('Temperature in bundle'!$Q$6^2-4*(Y165+AA$7)*'Temperature in bundle'!$Q$7)^0.5)/2/(Y165+AA$7)))</f>
        <v/>
      </c>
      <c r="AA165" s="98"/>
      <c r="AB165" s="101"/>
    </row>
    <row r="166" spans="2:28">
      <c r="B166" s="113"/>
      <c r="C166" s="113"/>
      <c r="D166" s="113"/>
      <c r="E166" s="113"/>
      <c r="F166" s="113"/>
      <c r="G166" s="113"/>
      <c r="J166" s="116"/>
      <c r="K166" s="119"/>
      <c r="L166" s="98"/>
      <c r="M166" s="101"/>
      <c r="O166" s="100"/>
      <c r="P166" s="119" t="str">
        <f>IF('Temperature in bundle'!$P$4="Current = 1A per pair",2,IF($A166="","",('Temperature in bundle'!$Q$6-('Temperature in bundle'!$Q$6^2-4*(O166+Q$7)*'Temperature in bundle'!$Q$7)^0.5)/2/(O166+Q$7)))</f>
        <v/>
      </c>
      <c r="Q166" s="98"/>
      <c r="R166" s="101"/>
      <c r="T166" s="100"/>
      <c r="U166" s="119" t="str">
        <f>IF('Temperature in bundle'!$P$4="Current = 1A per pair",2,IF($A166="","",('Temperature in bundle'!$Q$6-('Temperature in bundle'!$Q$6^2-4*(T166+V$7)*'Temperature in bundle'!$Q$7)^0.5)/2/(T166+V$7)))</f>
        <v/>
      </c>
      <c r="V166" s="98"/>
      <c r="W166" s="101"/>
      <c r="Y166" s="100"/>
      <c r="Z166" s="119" t="str">
        <f>IF('Temperature in bundle'!$P$4="Current = 1A per pair",2,IF($A166="","",('Temperature in bundle'!$Q$6-('Temperature in bundle'!$Q$6^2-4*(Y166+AA$7)*'Temperature in bundle'!$Q$7)^0.5)/2/(Y166+AA$7)))</f>
        <v/>
      </c>
      <c r="AA166" s="98"/>
      <c r="AB166" s="101"/>
    </row>
    <row r="167" spans="2:28">
      <c r="B167" s="113"/>
      <c r="C167" s="113"/>
      <c r="D167" s="113"/>
      <c r="E167" s="113"/>
      <c r="F167" s="113"/>
      <c r="G167" s="113"/>
      <c r="J167" s="116"/>
      <c r="K167" s="119"/>
      <c r="L167" s="98"/>
      <c r="M167" s="101"/>
      <c r="O167" s="100"/>
      <c r="P167" s="119" t="str">
        <f>IF('Temperature in bundle'!$P$4="Current = 1A per pair",2,IF($A167="","",('Temperature in bundle'!$Q$6-('Temperature in bundle'!$Q$6^2-4*(O167+Q$7)*'Temperature in bundle'!$Q$7)^0.5)/2/(O167+Q$7)))</f>
        <v/>
      </c>
      <c r="Q167" s="98"/>
      <c r="R167" s="101"/>
      <c r="T167" s="100"/>
      <c r="U167" s="119" t="str">
        <f>IF('Temperature in bundle'!$P$4="Current = 1A per pair",2,IF($A167="","",('Temperature in bundle'!$Q$6-('Temperature in bundle'!$Q$6^2-4*(T167+V$7)*'Temperature in bundle'!$Q$7)^0.5)/2/(T167+V$7)))</f>
        <v/>
      </c>
      <c r="V167" s="98"/>
      <c r="W167" s="101"/>
      <c r="Y167" s="100"/>
      <c r="Z167" s="119" t="str">
        <f>IF('Temperature in bundle'!$P$4="Current = 1A per pair",2,IF($A167="","",('Temperature in bundle'!$Q$6-('Temperature in bundle'!$Q$6^2-4*(Y167+AA$7)*'Temperature in bundle'!$Q$7)^0.5)/2/(Y167+AA$7)))</f>
        <v/>
      </c>
      <c r="AA167" s="98"/>
      <c r="AB167" s="101"/>
    </row>
    <row r="168" spans="2:28">
      <c r="B168" s="113"/>
      <c r="C168" s="113"/>
      <c r="D168" s="113"/>
      <c r="E168" s="113"/>
      <c r="F168" s="113"/>
      <c r="G168" s="113"/>
      <c r="J168" s="116"/>
      <c r="K168" s="119"/>
      <c r="L168" s="98"/>
      <c r="M168" s="101"/>
      <c r="O168" s="100"/>
      <c r="P168" s="119" t="str">
        <f>IF('Temperature in bundle'!$P$4="Current = 1A per pair",2,IF($A168="","",('Temperature in bundle'!$Q$6-('Temperature in bundle'!$Q$6^2-4*(O168+Q$7)*'Temperature in bundle'!$Q$7)^0.5)/2/(O168+Q$7)))</f>
        <v/>
      </c>
      <c r="Q168" s="98"/>
      <c r="R168" s="101"/>
      <c r="T168" s="100"/>
      <c r="U168" s="119" t="str">
        <f>IF('Temperature in bundle'!$P$4="Current = 1A per pair",2,IF($A168="","",('Temperature in bundle'!$Q$6-('Temperature in bundle'!$Q$6^2-4*(T168+V$7)*'Temperature in bundle'!$Q$7)^0.5)/2/(T168+V$7)))</f>
        <v/>
      </c>
      <c r="V168" s="98"/>
      <c r="W168" s="101"/>
      <c r="Y168" s="100"/>
      <c r="Z168" s="119" t="str">
        <f>IF('Temperature in bundle'!$P$4="Current = 1A per pair",2,IF($A168="","",('Temperature in bundle'!$Q$6-('Temperature in bundle'!$Q$6^2-4*(Y168+AA$7)*'Temperature in bundle'!$Q$7)^0.5)/2/(Y168+AA$7)))</f>
        <v/>
      </c>
      <c r="AA168" s="98"/>
      <c r="AB168" s="101"/>
    </row>
    <row r="169" spans="2:28">
      <c r="B169" s="113"/>
      <c r="C169" s="113"/>
      <c r="D169" s="113"/>
      <c r="E169" s="113"/>
      <c r="F169" s="113"/>
      <c r="G169" s="113"/>
      <c r="J169" s="116"/>
      <c r="K169" s="119"/>
      <c r="L169" s="98"/>
      <c r="M169" s="101"/>
      <c r="O169" s="100"/>
      <c r="P169" s="119" t="str">
        <f>IF('Temperature in bundle'!$P$4="Current = 1A per pair",2,IF($A169="","",('Temperature in bundle'!$Q$6-('Temperature in bundle'!$Q$6^2-4*(O169+Q$7)*'Temperature in bundle'!$Q$7)^0.5)/2/(O169+Q$7)))</f>
        <v/>
      </c>
      <c r="Q169" s="98"/>
      <c r="R169" s="101"/>
      <c r="T169" s="100"/>
      <c r="U169" s="119" t="str">
        <f>IF('Temperature in bundle'!$P$4="Current = 1A per pair",2,IF($A169="","",('Temperature in bundle'!$Q$6-('Temperature in bundle'!$Q$6^2-4*(T169+V$7)*'Temperature in bundle'!$Q$7)^0.5)/2/(T169+V$7)))</f>
        <v/>
      </c>
      <c r="V169" s="98"/>
      <c r="W169" s="101"/>
      <c r="Y169" s="100"/>
      <c r="Z169" s="119" t="str">
        <f>IF('Temperature in bundle'!$P$4="Current = 1A per pair",2,IF($A169="","",('Temperature in bundle'!$Q$6-('Temperature in bundle'!$Q$6^2-4*(Y169+AA$7)*'Temperature in bundle'!$Q$7)^0.5)/2/(Y169+AA$7)))</f>
        <v/>
      </c>
      <c r="AA169" s="98"/>
      <c r="AB169" s="101"/>
    </row>
    <row r="170" spans="2:28">
      <c r="B170" s="113"/>
      <c r="C170" s="113"/>
      <c r="D170" s="113"/>
      <c r="E170" s="113"/>
      <c r="F170" s="113"/>
      <c r="G170" s="113"/>
      <c r="J170" s="116"/>
      <c r="K170" s="119"/>
      <c r="L170" s="98"/>
      <c r="M170" s="101"/>
      <c r="O170" s="100"/>
      <c r="P170" s="119" t="str">
        <f>IF('Temperature in bundle'!$P$4="Current = 1A per pair",2,IF($A170="","",('Temperature in bundle'!$Q$6-('Temperature in bundle'!$Q$6^2-4*(O170+Q$7)*'Temperature in bundle'!$Q$7)^0.5)/2/(O170+Q$7)))</f>
        <v/>
      </c>
      <c r="Q170" s="98"/>
      <c r="R170" s="101"/>
      <c r="T170" s="100"/>
      <c r="U170" s="119" t="str">
        <f>IF('Temperature in bundle'!$P$4="Current = 1A per pair",2,IF($A170="","",('Temperature in bundle'!$Q$6-('Temperature in bundle'!$Q$6^2-4*(T170+V$7)*'Temperature in bundle'!$Q$7)^0.5)/2/(T170+V$7)))</f>
        <v/>
      </c>
      <c r="V170" s="98"/>
      <c r="W170" s="101"/>
      <c r="Y170" s="100"/>
      <c r="Z170" s="119" t="str">
        <f>IF('Temperature in bundle'!$P$4="Current = 1A per pair",2,IF($A170="","",('Temperature in bundle'!$Q$6-('Temperature in bundle'!$Q$6^2-4*(Y170+AA$7)*'Temperature in bundle'!$Q$7)^0.5)/2/(Y170+AA$7)))</f>
        <v/>
      </c>
      <c r="AA170" s="98"/>
      <c r="AB170" s="101"/>
    </row>
    <row r="171" spans="2:28">
      <c r="B171" s="113"/>
      <c r="C171" s="113"/>
      <c r="D171" s="113"/>
      <c r="E171" s="113"/>
      <c r="F171" s="113"/>
      <c r="G171" s="113"/>
      <c r="J171" s="116"/>
      <c r="K171" s="119"/>
      <c r="L171" s="98"/>
      <c r="M171" s="101"/>
      <c r="O171" s="100"/>
      <c r="P171" s="119" t="str">
        <f>IF('Temperature in bundle'!$P$4="Current = 1A per pair",2,IF($A171="","",('Temperature in bundle'!$Q$6-('Temperature in bundle'!$Q$6^2-4*(O171+Q$7)*'Temperature in bundle'!$Q$7)^0.5)/2/(O171+Q$7)))</f>
        <v/>
      </c>
      <c r="Q171" s="98"/>
      <c r="R171" s="101"/>
      <c r="T171" s="100"/>
      <c r="U171" s="119" t="str">
        <f>IF('Temperature in bundle'!$P$4="Current = 1A per pair",2,IF($A171="","",('Temperature in bundle'!$Q$6-('Temperature in bundle'!$Q$6^2-4*(T171+V$7)*'Temperature in bundle'!$Q$7)^0.5)/2/(T171+V$7)))</f>
        <v/>
      </c>
      <c r="V171" s="98"/>
      <c r="W171" s="101"/>
      <c r="Y171" s="100"/>
      <c r="Z171" s="119" t="str">
        <f>IF('Temperature in bundle'!$P$4="Current = 1A per pair",2,IF($A171="","",('Temperature in bundle'!$Q$6-('Temperature in bundle'!$Q$6^2-4*(Y171+AA$7)*'Temperature in bundle'!$Q$7)^0.5)/2/(Y171+AA$7)))</f>
        <v/>
      </c>
      <c r="AA171" s="98"/>
      <c r="AB171" s="101"/>
    </row>
    <row r="172" spans="2:28">
      <c r="B172" s="113"/>
      <c r="C172" s="113"/>
      <c r="D172" s="113"/>
      <c r="E172" s="113"/>
      <c r="F172" s="113"/>
      <c r="G172" s="113"/>
      <c r="J172" s="116"/>
      <c r="K172" s="119"/>
      <c r="L172" s="98"/>
      <c r="M172" s="101"/>
      <c r="O172" s="100"/>
      <c r="P172" s="119" t="str">
        <f>IF('Temperature in bundle'!$P$4="Current = 1A per pair",2,IF($A172="","",('Temperature in bundle'!$Q$6-('Temperature in bundle'!$Q$6^2-4*(O172+Q$7)*'Temperature in bundle'!$Q$7)^0.5)/2/(O172+Q$7)))</f>
        <v/>
      </c>
      <c r="Q172" s="98"/>
      <c r="R172" s="101"/>
      <c r="T172" s="100"/>
      <c r="U172" s="119" t="str">
        <f>IF('Temperature in bundle'!$P$4="Current = 1A per pair",2,IF($A172="","",('Temperature in bundle'!$Q$6-('Temperature in bundle'!$Q$6^2-4*(T172+V$7)*'Temperature in bundle'!$Q$7)^0.5)/2/(T172+V$7)))</f>
        <v/>
      </c>
      <c r="V172" s="98"/>
      <c r="W172" s="101"/>
      <c r="Y172" s="100"/>
      <c r="Z172" s="119" t="str">
        <f>IF('Temperature in bundle'!$P$4="Current = 1A per pair",2,IF($A172="","",('Temperature in bundle'!$Q$6-('Temperature in bundle'!$Q$6^2-4*(Y172+AA$7)*'Temperature in bundle'!$Q$7)^0.5)/2/(Y172+AA$7)))</f>
        <v/>
      </c>
      <c r="AA172" s="98"/>
      <c r="AB172" s="101"/>
    </row>
    <row r="173" spans="2:28">
      <c r="B173" s="113"/>
      <c r="C173" s="113"/>
      <c r="D173" s="113"/>
      <c r="E173" s="113"/>
      <c r="F173" s="113"/>
      <c r="G173" s="113"/>
      <c r="J173" s="116"/>
      <c r="K173" s="119"/>
      <c r="L173" s="98"/>
      <c r="M173" s="101"/>
      <c r="O173" s="100"/>
      <c r="P173" s="119" t="str">
        <f>IF('Temperature in bundle'!$P$4="Current = 1A per pair",2,IF($A173="","",('Temperature in bundle'!$Q$6-('Temperature in bundle'!$Q$6^2-4*(O173+Q$7)*'Temperature in bundle'!$Q$7)^0.5)/2/(O173+Q$7)))</f>
        <v/>
      </c>
      <c r="Q173" s="98"/>
      <c r="R173" s="101"/>
      <c r="T173" s="100"/>
      <c r="U173" s="119" t="str">
        <f>IF('Temperature in bundle'!$P$4="Current = 1A per pair",2,IF($A173="","",('Temperature in bundle'!$Q$6-('Temperature in bundle'!$Q$6^2-4*(T173+V$7)*'Temperature in bundle'!$Q$7)^0.5)/2/(T173+V$7)))</f>
        <v/>
      </c>
      <c r="V173" s="98"/>
      <c r="W173" s="101"/>
      <c r="Y173" s="100"/>
      <c r="Z173" s="119" t="str">
        <f>IF('Temperature in bundle'!$P$4="Current = 1A per pair",2,IF($A173="","",('Temperature in bundle'!$Q$6-('Temperature in bundle'!$Q$6^2-4*(Y173+AA$7)*'Temperature in bundle'!$Q$7)^0.5)/2/(Y173+AA$7)))</f>
        <v/>
      </c>
      <c r="AA173" s="98"/>
      <c r="AB173" s="101"/>
    </row>
    <row r="174" spans="2:28">
      <c r="B174" s="113"/>
      <c r="C174" s="113"/>
      <c r="D174" s="113"/>
      <c r="E174" s="113"/>
      <c r="F174" s="113"/>
      <c r="G174" s="113"/>
      <c r="J174" s="116"/>
      <c r="K174" s="119"/>
      <c r="L174" s="98"/>
      <c r="M174" s="101"/>
      <c r="O174" s="100"/>
      <c r="P174" s="119" t="str">
        <f>IF('Temperature in bundle'!$P$4="Current = 1A per pair",2,IF($A174="","",('Temperature in bundle'!$Q$6-('Temperature in bundle'!$Q$6^2-4*(O174+Q$7)*'Temperature in bundle'!$Q$7)^0.5)/2/(O174+Q$7)))</f>
        <v/>
      </c>
      <c r="Q174" s="98"/>
      <c r="R174" s="101"/>
      <c r="T174" s="100"/>
      <c r="U174" s="119" t="str">
        <f>IF('Temperature in bundle'!$P$4="Current = 1A per pair",2,IF($A174="","",('Temperature in bundle'!$Q$6-('Temperature in bundle'!$Q$6^2-4*(T174+V$7)*'Temperature in bundle'!$Q$7)^0.5)/2/(T174+V$7)))</f>
        <v/>
      </c>
      <c r="V174" s="98"/>
      <c r="W174" s="101"/>
      <c r="Y174" s="100"/>
      <c r="Z174" s="119" t="str">
        <f>IF('Temperature in bundle'!$P$4="Current = 1A per pair",2,IF($A174="","",('Temperature in bundle'!$Q$6-('Temperature in bundle'!$Q$6^2-4*(Y174+AA$7)*'Temperature in bundle'!$Q$7)^0.5)/2/(Y174+AA$7)))</f>
        <v/>
      </c>
      <c r="AA174" s="98"/>
      <c r="AB174" s="101"/>
    </row>
    <row r="175" spans="2:28">
      <c r="B175" s="113"/>
      <c r="C175" s="113"/>
      <c r="D175" s="113"/>
      <c r="E175" s="113"/>
      <c r="F175" s="113"/>
      <c r="G175" s="113"/>
      <c r="J175" s="116"/>
      <c r="K175" s="119"/>
      <c r="L175" s="98"/>
      <c r="M175" s="101"/>
      <c r="O175" s="100"/>
      <c r="P175" s="119" t="str">
        <f>IF('Temperature in bundle'!$P$4="Current = 1A per pair",2,IF($A175="","",('Temperature in bundle'!$Q$6-('Temperature in bundle'!$Q$6^2-4*(O175+Q$7)*'Temperature in bundle'!$Q$7)^0.5)/2/(O175+Q$7)))</f>
        <v/>
      </c>
      <c r="Q175" s="98"/>
      <c r="R175" s="101"/>
      <c r="T175" s="100"/>
      <c r="U175" s="119" t="str">
        <f>IF('Temperature in bundle'!$P$4="Current = 1A per pair",2,IF($A175="","",('Temperature in bundle'!$Q$6-('Temperature in bundle'!$Q$6^2-4*(T175+V$7)*'Temperature in bundle'!$Q$7)^0.5)/2/(T175+V$7)))</f>
        <v/>
      </c>
      <c r="V175" s="98"/>
      <c r="W175" s="101"/>
      <c r="Y175" s="100"/>
      <c r="Z175" s="119" t="str">
        <f>IF('Temperature in bundle'!$P$4="Current = 1A per pair",2,IF($A175="","",('Temperature in bundle'!$Q$6-('Temperature in bundle'!$Q$6^2-4*(Y175+AA$7)*'Temperature in bundle'!$Q$7)^0.5)/2/(Y175+AA$7)))</f>
        <v/>
      </c>
      <c r="AA175" s="98"/>
      <c r="AB175" s="101"/>
    </row>
    <row r="176" spans="2:28">
      <c r="B176" s="113"/>
      <c r="C176" s="113"/>
      <c r="D176" s="113"/>
      <c r="E176" s="113"/>
      <c r="F176" s="113"/>
      <c r="G176" s="113"/>
      <c r="J176" s="116"/>
      <c r="K176" s="119"/>
      <c r="L176" s="98"/>
      <c r="M176" s="101"/>
      <c r="O176" s="100"/>
      <c r="P176" s="119" t="str">
        <f>IF('Temperature in bundle'!$P$4="Current = 1A per pair",2,IF($A176="","",('Temperature in bundle'!$Q$6-('Temperature in bundle'!$Q$6^2-4*(O176+Q$7)*'Temperature in bundle'!$Q$7)^0.5)/2/(O176+Q$7)))</f>
        <v/>
      </c>
      <c r="Q176" s="98"/>
      <c r="R176" s="101"/>
      <c r="T176" s="100"/>
      <c r="U176" s="119" t="str">
        <f>IF('Temperature in bundle'!$P$4="Current = 1A per pair",2,IF($A176="","",('Temperature in bundle'!$Q$6-('Temperature in bundle'!$Q$6^2-4*(T176+V$7)*'Temperature in bundle'!$Q$7)^0.5)/2/(T176+V$7)))</f>
        <v/>
      </c>
      <c r="V176" s="98"/>
      <c r="W176" s="101"/>
      <c r="Y176" s="100"/>
      <c r="Z176" s="119" t="str">
        <f>IF('Temperature in bundle'!$P$4="Current = 1A per pair",2,IF($A176="","",('Temperature in bundle'!$Q$6-('Temperature in bundle'!$Q$6^2-4*(Y176+AA$7)*'Temperature in bundle'!$Q$7)^0.5)/2/(Y176+AA$7)))</f>
        <v/>
      </c>
      <c r="AA176" s="98"/>
      <c r="AB176" s="101"/>
    </row>
    <row r="177" spans="2:28">
      <c r="B177" s="113"/>
      <c r="C177" s="113"/>
      <c r="D177" s="113"/>
      <c r="E177" s="113"/>
      <c r="F177" s="113"/>
      <c r="G177" s="113"/>
      <c r="J177" s="116"/>
      <c r="K177" s="119"/>
      <c r="L177" s="98"/>
      <c r="M177" s="101"/>
      <c r="O177" s="100"/>
      <c r="P177" s="119" t="str">
        <f>IF('Temperature in bundle'!$P$4="Current = 1A per pair",2,IF($A177="","",('Temperature in bundle'!$Q$6-('Temperature in bundle'!$Q$6^2-4*(O177+Q$7)*'Temperature in bundle'!$Q$7)^0.5)/2/(O177+Q$7)))</f>
        <v/>
      </c>
      <c r="Q177" s="98"/>
      <c r="R177" s="101"/>
      <c r="T177" s="100"/>
      <c r="U177" s="119" t="str">
        <f>IF('Temperature in bundle'!$P$4="Current = 1A per pair",2,IF($A177="","",('Temperature in bundle'!$Q$6-('Temperature in bundle'!$Q$6^2-4*(T177+V$7)*'Temperature in bundle'!$Q$7)^0.5)/2/(T177+V$7)))</f>
        <v/>
      </c>
      <c r="V177" s="98"/>
      <c r="W177" s="101"/>
      <c r="Y177" s="100"/>
      <c r="Z177" s="119" t="str">
        <f>IF('Temperature in bundle'!$P$4="Current = 1A per pair",2,IF($A177="","",('Temperature in bundle'!$Q$6-('Temperature in bundle'!$Q$6^2-4*(Y177+AA$7)*'Temperature in bundle'!$Q$7)^0.5)/2/(Y177+AA$7)))</f>
        <v/>
      </c>
      <c r="AA177" s="98"/>
      <c r="AB177" s="101"/>
    </row>
    <row r="178" spans="2:28">
      <c r="B178" s="113"/>
      <c r="C178" s="113"/>
      <c r="D178" s="113"/>
      <c r="E178" s="113"/>
      <c r="F178" s="113"/>
      <c r="G178" s="113"/>
      <c r="J178" s="116"/>
      <c r="K178" s="119"/>
      <c r="L178" s="98"/>
      <c r="M178" s="101"/>
      <c r="O178" s="100"/>
      <c r="P178" s="119" t="str">
        <f>IF('Temperature in bundle'!$P$4="Current = 1A per pair",2,IF($A178="","",('Temperature in bundle'!$Q$6-('Temperature in bundle'!$Q$6^2-4*(O178+Q$7)*'Temperature in bundle'!$Q$7)^0.5)/2/(O178+Q$7)))</f>
        <v/>
      </c>
      <c r="Q178" s="98"/>
      <c r="R178" s="101"/>
      <c r="T178" s="100"/>
      <c r="U178" s="119" t="str">
        <f>IF('Temperature in bundle'!$P$4="Current = 1A per pair",2,IF($A178="","",('Temperature in bundle'!$Q$6-('Temperature in bundle'!$Q$6^2-4*(T178+V$7)*'Temperature in bundle'!$Q$7)^0.5)/2/(T178+V$7)))</f>
        <v/>
      </c>
      <c r="V178" s="98"/>
      <c r="W178" s="101"/>
      <c r="Y178" s="100"/>
      <c r="Z178" s="119" t="str">
        <f>IF('Temperature in bundle'!$P$4="Current = 1A per pair",2,IF($A178="","",('Temperature in bundle'!$Q$6-('Temperature in bundle'!$Q$6^2-4*(Y178+AA$7)*'Temperature in bundle'!$Q$7)^0.5)/2/(Y178+AA$7)))</f>
        <v/>
      </c>
      <c r="AA178" s="98"/>
      <c r="AB178" s="101"/>
    </row>
    <row r="179" spans="2:28">
      <c r="B179" s="113"/>
      <c r="C179" s="113"/>
      <c r="D179" s="113"/>
      <c r="E179" s="113"/>
      <c r="F179" s="113"/>
      <c r="G179" s="113"/>
      <c r="J179" s="116"/>
      <c r="K179" s="119"/>
      <c r="L179" s="98"/>
      <c r="M179" s="101"/>
      <c r="O179" s="100"/>
      <c r="P179" s="119" t="str">
        <f>IF('Temperature in bundle'!$P$4="Current = 1A per pair",2,IF($A179="","",('Temperature in bundle'!$Q$6-('Temperature in bundle'!$Q$6^2-4*(O179+Q$7)*'Temperature in bundle'!$Q$7)^0.5)/2/(O179+Q$7)))</f>
        <v/>
      </c>
      <c r="Q179" s="98"/>
      <c r="R179" s="101"/>
      <c r="T179" s="100"/>
      <c r="U179" s="119" t="str">
        <f>IF('Temperature in bundle'!$P$4="Current = 1A per pair",2,IF($A179="","",('Temperature in bundle'!$Q$6-('Temperature in bundle'!$Q$6^2-4*(T179+V$7)*'Temperature in bundle'!$Q$7)^0.5)/2/(T179+V$7)))</f>
        <v/>
      </c>
      <c r="V179" s="98"/>
      <c r="W179" s="101"/>
      <c r="Y179" s="100"/>
      <c r="Z179" s="119" t="str">
        <f>IF('Temperature in bundle'!$P$4="Current = 1A per pair",2,IF($A179="","",('Temperature in bundle'!$Q$6-('Temperature in bundle'!$Q$6^2-4*(Y179+AA$7)*'Temperature in bundle'!$Q$7)^0.5)/2/(Y179+AA$7)))</f>
        <v/>
      </c>
      <c r="AA179" s="98"/>
      <c r="AB179" s="101"/>
    </row>
    <row r="180" spans="2:28">
      <c r="B180" s="113"/>
      <c r="C180" s="113"/>
      <c r="D180" s="113"/>
      <c r="E180" s="113"/>
      <c r="F180" s="113"/>
      <c r="G180" s="113"/>
      <c r="J180" s="116"/>
      <c r="K180" s="119"/>
      <c r="L180" s="98"/>
      <c r="M180" s="101"/>
      <c r="O180" s="100"/>
      <c r="P180" s="119" t="str">
        <f>IF('Temperature in bundle'!$P$4="Current = 1A per pair",2,IF($A180="","",('Temperature in bundle'!$Q$6-('Temperature in bundle'!$Q$6^2-4*(O180+Q$7)*'Temperature in bundle'!$Q$7)^0.5)/2/(O180+Q$7)))</f>
        <v/>
      </c>
      <c r="Q180" s="98"/>
      <c r="R180" s="101"/>
      <c r="T180" s="100"/>
      <c r="U180" s="119" t="str">
        <f>IF('Temperature in bundle'!$P$4="Current = 1A per pair",2,IF($A180="","",('Temperature in bundle'!$Q$6-('Temperature in bundle'!$Q$6^2-4*(T180+V$7)*'Temperature in bundle'!$Q$7)^0.5)/2/(T180+V$7)))</f>
        <v/>
      </c>
      <c r="V180" s="98"/>
      <c r="W180" s="101"/>
      <c r="Y180" s="100"/>
      <c r="Z180" s="119" t="str">
        <f>IF('Temperature in bundle'!$P$4="Current = 1A per pair",2,IF($A180="","",('Temperature in bundle'!$Q$6-('Temperature in bundle'!$Q$6^2-4*(Y180+AA$7)*'Temperature in bundle'!$Q$7)^0.5)/2/(Y180+AA$7)))</f>
        <v/>
      </c>
      <c r="AA180" s="98"/>
      <c r="AB180" s="101"/>
    </row>
    <row r="181" spans="2:28">
      <c r="B181" s="113"/>
      <c r="C181" s="113"/>
      <c r="D181" s="113"/>
      <c r="E181" s="113"/>
      <c r="F181" s="113"/>
      <c r="G181" s="113"/>
      <c r="J181" s="116"/>
      <c r="K181" s="119"/>
      <c r="L181" s="98"/>
      <c r="M181" s="101"/>
      <c r="O181" s="100"/>
      <c r="P181" s="119" t="str">
        <f>IF('Temperature in bundle'!$P$4="Current = 1A per pair",2,IF($A181="","",('Temperature in bundle'!$Q$6-('Temperature in bundle'!$Q$6^2-4*(O181+Q$7)*'Temperature in bundle'!$Q$7)^0.5)/2/(O181+Q$7)))</f>
        <v/>
      </c>
      <c r="Q181" s="98"/>
      <c r="R181" s="101"/>
      <c r="T181" s="100"/>
      <c r="U181" s="119" t="str">
        <f>IF('Temperature in bundle'!$P$4="Current = 1A per pair",2,IF($A181="","",('Temperature in bundle'!$Q$6-('Temperature in bundle'!$Q$6^2-4*(T181+V$7)*'Temperature in bundle'!$Q$7)^0.5)/2/(T181+V$7)))</f>
        <v/>
      </c>
      <c r="V181" s="98"/>
      <c r="W181" s="101"/>
      <c r="Y181" s="100"/>
      <c r="Z181" s="119" t="str">
        <f>IF('Temperature in bundle'!$P$4="Current = 1A per pair",2,IF($A181="","",('Temperature in bundle'!$Q$6-('Temperature in bundle'!$Q$6^2-4*(Y181+AA$7)*'Temperature in bundle'!$Q$7)^0.5)/2/(Y181+AA$7)))</f>
        <v/>
      </c>
      <c r="AA181" s="98"/>
      <c r="AB181" s="101"/>
    </row>
    <row r="182" spans="2:28">
      <c r="B182" s="113"/>
      <c r="C182" s="113"/>
      <c r="D182" s="113"/>
      <c r="E182" s="113"/>
      <c r="F182" s="113"/>
      <c r="G182" s="113"/>
      <c r="J182" s="116"/>
      <c r="K182" s="119"/>
      <c r="L182" s="98"/>
      <c r="M182" s="101"/>
      <c r="O182" s="100"/>
      <c r="P182" s="119" t="str">
        <f>IF('Temperature in bundle'!$P$4="Current = 1A per pair",2,IF($A182="","",('Temperature in bundle'!$Q$6-('Temperature in bundle'!$Q$6^2-4*(O182+Q$7)*'Temperature in bundle'!$Q$7)^0.5)/2/(O182+Q$7)))</f>
        <v/>
      </c>
      <c r="Q182" s="98"/>
      <c r="R182" s="101"/>
      <c r="T182" s="100"/>
      <c r="U182" s="119" t="str">
        <f>IF('Temperature in bundle'!$P$4="Current = 1A per pair",2,IF($A182="","",('Temperature in bundle'!$Q$6-('Temperature in bundle'!$Q$6^2-4*(T182+V$7)*'Temperature in bundle'!$Q$7)^0.5)/2/(T182+V$7)))</f>
        <v/>
      </c>
      <c r="V182" s="98"/>
      <c r="W182" s="101"/>
      <c r="Y182" s="100"/>
      <c r="Z182" s="119" t="str">
        <f>IF('Temperature in bundle'!$P$4="Current = 1A per pair",2,IF($A182="","",('Temperature in bundle'!$Q$6-('Temperature in bundle'!$Q$6^2-4*(Y182+AA$7)*'Temperature in bundle'!$Q$7)^0.5)/2/(Y182+AA$7)))</f>
        <v/>
      </c>
      <c r="AA182" s="98"/>
      <c r="AB182" s="101"/>
    </row>
    <row r="183" spans="2:28">
      <c r="B183" s="113"/>
      <c r="C183" s="113"/>
      <c r="D183" s="113"/>
      <c r="E183" s="113"/>
      <c r="F183" s="113"/>
      <c r="G183" s="113"/>
      <c r="J183" s="116"/>
      <c r="K183" s="119"/>
      <c r="L183" s="98"/>
      <c r="M183" s="101"/>
      <c r="O183" s="100"/>
      <c r="P183" s="119" t="str">
        <f>IF('Temperature in bundle'!$P$4="Current = 1A per pair",2,IF($A183="","",('Temperature in bundle'!$Q$6-('Temperature in bundle'!$Q$6^2-4*(O183+Q$7)*'Temperature in bundle'!$Q$7)^0.5)/2/(O183+Q$7)))</f>
        <v/>
      </c>
      <c r="Q183" s="98"/>
      <c r="R183" s="101"/>
      <c r="T183" s="100"/>
      <c r="U183" s="119" t="str">
        <f>IF('Temperature in bundle'!$P$4="Current = 1A per pair",2,IF($A183="","",('Temperature in bundle'!$Q$6-('Temperature in bundle'!$Q$6^2-4*(T183+V$7)*'Temperature in bundle'!$Q$7)^0.5)/2/(T183+V$7)))</f>
        <v/>
      </c>
      <c r="V183" s="98"/>
      <c r="W183" s="101"/>
      <c r="Y183" s="100"/>
      <c r="Z183" s="119" t="str">
        <f>IF('Temperature in bundle'!$P$4="Current = 1A per pair",2,IF($A183="","",('Temperature in bundle'!$Q$6-('Temperature in bundle'!$Q$6^2-4*(Y183+AA$7)*'Temperature in bundle'!$Q$7)^0.5)/2/(Y183+AA$7)))</f>
        <v/>
      </c>
      <c r="AA183" s="98"/>
      <c r="AB183" s="101"/>
    </row>
    <row r="184" spans="2:28">
      <c r="B184" s="113"/>
      <c r="C184" s="113"/>
      <c r="D184" s="113"/>
      <c r="E184" s="113"/>
      <c r="F184" s="113"/>
      <c r="G184" s="113"/>
      <c r="J184" s="116"/>
      <c r="K184" s="119"/>
      <c r="L184" s="98"/>
      <c r="M184" s="101"/>
      <c r="O184" s="100"/>
      <c r="P184" s="119" t="str">
        <f>IF('Temperature in bundle'!$P$4="Current = 1A per pair",2,IF($A184="","",('Temperature in bundle'!$Q$6-('Temperature in bundle'!$Q$6^2-4*(O184+Q$7)*'Temperature in bundle'!$Q$7)^0.5)/2/(O184+Q$7)))</f>
        <v/>
      </c>
      <c r="Q184" s="98"/>
      <c r="R184" s="101"/>
      <c r="T184" s="100"/>
      <c r="U184" s="119" t="str">
        <f>IF('Temperature in bundle'!$P$4="Current = 1A per pair",2,IF($A184="","",('Temperature in bundle'!$Q$6-('Temperature in bundle'!$Q$6^2-4*(T184+V$7)*'Temperature in bundle'!$Q$7)^0.5)/2/(T184+V$7)))</f>
        <v/>
      </c>
      <c r="V184" s="98"/>
      <c r="W184" s="101"/>
      <c r="Y184" s="100"/>
      <c r="Z184" s="119" t="str">
        <f>IF('Temperature in bundle'!$P$4="Current = 1A per pair",2,IF($A184="","",('Temperature in bundle'!$Q$6-('Temperature in bundle'!$Q$6^2-4*(Y184+AA$7)*'Temperature in bundle'!$Q$7)^0.5)/2/(Y184+AA$7)))</f>
        <v/>
      </c>
      <c r="AA184" s="98"/>
      <c r="AB184" s="101"/>
    </row>
    <row r="185" spans="2:28">
      <c r="B185" s="113"/>
      <c r="C185" s="113"/>
      <c r="D185" s="113"/>
      <c r="E185" s="113"/>
      <c r="F185" s="113"/>
      <c r="G185" s="113"/>
      <c r="J185" s="116"/>
      <c r="K185" s="119"/>
      <c r="L185" s="98"/>
      <c r="M185" s="101"/>
      <c r="O185" s="100"/>
      <c r="P185" s="119" t="str">
        <f>IF('Temperature in bundle'!$P$4="Current = 1A per pair",2,IF($A185="","",('Temperature in bundle'!$Q$6-('Temperature in bundle'!$Q$6^2-4*(O185+Q$7)*'Temperature in bundle'!$Q$7)^0.5)/2/(O185+Q$7)))</f>
        <v/>
      </c>
      <c r="Q185" s="98"/>
      <c r="R185" s="101"/>
      <c r="T185" s="100"/>
      <c r="U185" s="119" t="str">
        <f>IF('Temperature in bundle'!$P$4="Current = 1A per pair",2,IF($A185="","",('Temperature in bundle'!$Q$6-('Temperature in bundle'!$Q$6^2-4*(T185+V$7)*'Temperature in bundle'!$Q$7)^0.5)/2/(T185+V$7)))</f>
        <v/>
      </c>
      <c r="V185" s="98"/>
      <c r="W185" s="101"/>
      <c r="Y185" s="100"/>
      <c r="Z185" s="119" t="str">
        <f>IF('Temperature in bundle'!$P$4="Current = 1A per pair",2,IF($A185="","",('Temperature in bundle'!$Q$6-('Temperature in bundle'!$Q$6^2-4*(Y185+AA$7)*'Temperature in bundle'!$Q$7)^0.5)/2/(Y185+AA$7)))</f>
        <v/>
      </c>
      <c r="AA185" s="98"/>
      <c r="AB185" s="101"/>
    </row>
    <row r="186" spans="2:28">
      <c r="B186" s="113"/>
      <c r="C186" s="113"/>
      <c r="D186" s="113"/>
      <c r="E186" s="113"/>
      <c r="F186" s="113"/>
      <c r="G186" s="113"/>
      <c r="J186" s="116"/>
      <c r="K186" s="119"/>
      <c r="L186" s="98"/>
      <c r="M186" s="101"/>
      <c r="O186" s="100"/>
      <c r="P186" s="119" t="str">
        <f>IF('Temperature in bundle'!$P$4="Current = 1A per pair",2,IF($A186="","",('Temperature in bundle'!$Q$6-('Temperature in bundle'!$Q$6^2-4*(O186+Q$7)*'Temperature in bundle'!$Q$7)^0.5)/2/(O186+Q$7)))</f>
        <v/>
      </c>
      <c r="Q186" s="98"/>
      <c r="R186" s="101"/>
      <c r="T186" s="100"/>
      <c r="U186" s="119" t="str">
        <f>IF('Temperature in bundle'!$P$4="Current = 1A per pair",2,IF($A186="","",('Temperature in bundle'!$Q$6-('Temperature in bundle'!$Q$6^2-4*(T186+V$7)*'Temperature in bundle'!$Q$7)^0.5)/2/(T186+V$7)))</f>
        <v/>
      </c>
      <c r="V186" s="98"/>
      <c r="W186" s="101"/>
      <c r="Y186" s="100"/>
      <c r="Z186" s="119" t="str">
        <f>IF('Temperature in bundle'!$P$4="Current = 1A per pair",2,IF($A186="","",('Temperature in bundle'!$Q$6-('Temperature in bundle'!$Q$6^2-4*(Y186+AA$7)*'Temperature in bundle'!$Q$7)^0.5)/2/(Y186+AA$7)))</f>
        <v/>
      </c>
      <c r="AA186" s="98"/>
      <c r="AB186" s="101"/>
    </row>
    <row r="187" spans="2:28">
      <c r="B187" s="113"/>
      <c r="C187" s="113"/>
      <c r="D187" s="113"/>
      <c r="E187" s="113"/>
      <c r="F187" s="113"/>
      <c r="G187" s="113"/>
      <c r="J187" s="116"/>
      <c r="K187" s="119"/>
      <c r="L187" s="98"/>
      <c r="M187" s="101"/>
      <c r="O187" s="100"/>
      <c r="P187" s="119" t="str">
        <f>IF('Temperature in bundle'!$P$4="Current = 1A per pair",2,IF($A187="","",('Temperature in bundle'!$Q$6-('Temperature in bundle'!$Q$6^2-4*(O187+Q$7)*'Temperature in bundle'!$Q$7)^0.5)/2/(O187+Q$7)))</f>
        <v/>
      </c>
      <c r="Q187" s="98"/>
      <c r="R187" s="101"/>
      <c r="T187" s="100"/>
      <c r="U187" s="119" t="str">
        <f>IF('Temperature in bundle'!$P$4="Current = 1A per pair",2,IF($A187="","",('Temperature in bundle'!$Q$6-('Temperature in bundle'!$Q$6^2-4*(T187+V$7)*'Temperature in bundle'!$Q$7)^0.5)/2/(T187+V$7)))</f>
        <v/>
      </c>
      <c r="V187" s="98"/>
      <c r="W187" s="101"/>
      <c r="Y187" s="100"/>
      <c r="Z187" s="119" t="str">
        <f>IF('Temperature in bundle'!$P$4="Current = 1A per pair",2,IF($A187="","",('Temperature in bundle'!$Q$6-('Temperature in bundle'!$Q$6^2-4*(Y187+AA$7)*'Temperature in bundle'!$Q$7)^0.5)/2/(Y187+AA$7)))</f>
        <v/>
      </c>
      <c r="AA187" s="98"/>
      <c r="AB187" s="101"/>
    </row>
    <row r="188" spans="2:28">
      <c r="B188" s="113"/>
      <c r="C188" s="113"/>
      <c r="D188" s="113"/>
      <c r="E188" s="113"/>
      <c r="F188" s="113"/>
      <c r="G188" s="113"/>
      <c r="J188" s="116"/>
      <c r="K188" s="119"/>
      <c r="L188" s="98"/>
      <c r="M188" s="101"/>
      <c r="O188" s="100"/>
      <c r="P188" s="119" t="str">
        <f>IF('Temperature in bundle'!$P$4="Current = 1A per pair",2,IF($A188="","",('Temperature in bundle'!$Q$6-('Temperature in bundle'!$Q$6^2-4*(O188+Q$7)*'Temperature in bundle'!$Q$7)^0.5)/2/(O188+Q$7)))</f>
        <v/>
      </c>
      <c r="Q188" s="98"/>
      <c r="R188" s="101"/>
      <c r="T188" s="100"/>
      <c r="U188" s="119" t="str">
        <f>IF('Temperature in bundle'!$P$4="Current = 1A per pair",2,IF($A188="","",('Temperature in bundle'!$Q$6-('Temperature in bundle'!$Q$6^2-4*(T188+V$7)*'Temperature in bundle'!$Q$7)^0.5)/2/(T188+V$7)))</f>
        <v/>
      </c>
      <c r="V188" s="98"/>
      <c r="W188" s="101"/>
      <c r="Y188" s="100"/>
      <c r="Z188" s="119" t="str">
        <f>IF('Temperature in bundle'!$P$4="Current = 1A per pair",2,IF($A188="","",('Temperature in bundle'!$Q$6-('Temperature in bundle'!$Q$6^2-4*(Y188+AA$7)*'Temperature in bundle'!$Q$7)^0.5)/2/(Y188+AA$7)))</f>
        <v/>
      </c>
      <c r="AA188" s="98"/>
      <c r="AB188" s="101"/>
    </row>
    <row r="189" spans="2:28">
      <c r="B189" s="113"/>
      <c r="C189" s="113"/>
      <c r="D189" s="113"/>
      <c r="E189" s="113"/>
      <c r="F189" s="113"/>
      <c r="G189" s="113"/>
      <c r="J189" s="116"/>
      <c r="K189" s="119"/>
      <c r="L189" s="98"/>
      <c r="M189" s="101"/>
      <c r="O189" s="100"/>
      <c r="P189" s="119" t="str">
        <f>IF('Temperature in bundle'!$P$4="Current = 1A per pair",2,IF($A189="","",('Temperature in bundle'!$Q$6-('Temperature in bundle'!$Q$6^2-4*(O189+Q$7)*'Temperature in bundle'!$Q$7)^0.5)/2/(O189+Q$7)))</f>
        <v/>
      </c>
      <c r="Q189" s="98"/>
      <c r="R189" s="101"/>
      <c r="T189" s="100"/>
      <c r="U189" s="119" t="str">
        <f>IF('Temperature in bundle'!$P$4="Current = 1A per pair",2,IF($A189="","",('Temperature in bundle'!$Q$6-('Temperature in bundle'!$Q$6^2-4*(T189+V$7)*'Temperature in bundle'!$Q$7)^0.5)/2/(T189+V$7)))</f>
        <v/>
      </c>
      <c r="V189" s="98"/>
      <c r="W189" s="101"/>
      <c r="Y189" s="100"/>
      <c r="Z189" s="119" t="str">
        <f>IF('Temperature in bundle'!$P$4="Current = 1A per pair",2,IF($A189="","",('Temperature in bundle'!$Q$6-('Temperature in bundle'!$Q$6^2-4*(Y189+AA$7)*'Temperature in bundle'!$Q$7)^0.5)/2/(Y189+AA$7)))</f>
        <v/>
      </c>
      <c r="AA189" s="98"/>
      <c r="AB189" s="101"/>
    </row>
    <row r="190" spans="2:28">
      <c r="B190" s="113"/>
      <c r="C190" s="113"/>
      <c r="D190" s="113"/>
      <c r="E190" s="113"/>
      <c r="F190" s="113"/>
      <c r="G190" s="113"/>
      <c r="J190" s="116"/>
      <c r="K190" s="119"/>
      <c r="L190" s="98"/>
      <c r="M190" s="101"/>
      <c r="O190" s="100"/>
      <c r="P190" s="119" t="str">
        <f>IF('Temperature in bundle'!$P$4="Current = 1A per pair",2,IF($A190="","",('Temperature in bundle'!$Q$6-('Temperature in bundle'!$Q$6^2-4*(O190+Q$7)*'Temperature in bundle'!$Q$7)^0.5)/2/(O190+Q$7)))</f>
        <v/>
      </c>
      <c r="Q190" s="98"/>
      <c r="R190" s="101"/>
      <c r="T190" s="100"/>
      <c r="U190" s="119" t="str">
        <f>IF('Temperature in bundle'!$P$4="Current = 1A per pair",2,IF($A190="","",('Temperature in bundle'!$Q$6-('Temperature in bundle'!$Q$6^2-4*(T190+V$7)*'Temperature in bundle'!$Q$7)^0.5)/2/(T190+V$7)))</f>
        <v/>
      </c>
      <c r="V190" s="98"/>
      <c r="W190" s="101"/>
      <c r="Y190" s="100"/>
      <c r="Z190" s="119" t="str">
        <f>IF('Temperature in bundle'!$P$4="Current = 1A per pair",2,IF($A190="","",('Temperature in bundle'!$Q$6-('Temperature in bundle'!$Q$6^2-4*(Y190+AA$7)*'Temperature in bundle'!$Q$7)^0.5)/2/(Y190+AA$7)))</f>
        <v/>
      </c>
      <c r="AA190" s="98"/>
      <c r="AB190" s="101"/>
    </row>
    <row r="191" spans="2:28">
      <c r="B191" s="113"/>
      <c r="C191" s="113"/>
      <c r="D191" s="113"/>
      <c r="E191" s="113"/>
      <c r="F191" s="113"/>
      <c r="G191" s="113"/>
      <c r="J191" s="116"/>
      <c r="K191" s="119"/>
      <c r="L191" s="98"/>
      <c r="M191" s="101"/>
      <c r="O191" s="100"/>
      <c r="P191" s="119" t="str">
        <f>IF('Temperature in bundle'!$P$4="Current = 1A per pair",2,IF($A191="","",('Temperature in bundle'!$Q$6-('Temperature in bundle'!$Q$6^2-4*(O191+Q$7)*'Temperature in bundle'!$Q$7)^0.5)/2/(O191+Q$7)))</f>
        <v/>
      </c>
      <c r="Q191" s="98"/>
      <c r="R191" s="101"/>
      <c r="T191" s="100"/>
      <c r="U191" s="119" t="str">
        <f>IF('Temperature in bundle'!$P$4="Current = 1A per pair",2,IF($A191="","",('Temperature in bundle'!$Q$6-('Temperature in bundle'!$Q$6^2-4*(T191+V$7)*'Temperature in bundle'!$Q$7)^0.5)/2/(T191+V$7)))</f>
        <v/>
      </c>
      <c r="V191" s="98"/>
      <c r="W191" s="101"/>
      <c r="Y191" s="100"/>
      <c r="Z191" s="119" t="str">
        <f>IF('Temperature in bundle'!$P$4="Current = 1A per pair",2,IF($A191="","",('Temperature in bundle'!$Q$6-('Temperature in bundle'!$Q$6^2-4*(Y191+AA$7)*'Temperature in bundle'!$Q$7)^0.5)/2/(Y191+AA$7)))</f>
        <v/>
      </c>
      <c r="AA191" s="98"/>
      <c r="AB191" s="101"/>
    </row>
    <row r="192" spans="2:28">
      <c r="B192" s="113"/>
      <c r="C192" s="113"/>
      <c r="D192" s="113"/>
      <c r="E192" s="113"/>
      <c r="F192" s="113"/>
      <c r="G192" s="113"/>
      <c r="J192" s="116"/>
      <c r="K192" s="119"/>
      <c r="L192" s="98"/>
      <c r="M192" s="101"/>
      <c r="O192" s="100"/>
      <c r="P192" s="119" t="str">
        <f>IF('Temperature in bundle'!$P$4="Current = 1A per pair",2,IF($A192="","",('Temperature in bundle'!$Q$6-('Temperature in bundle'!$Q$6^2-4*(O192+Q$7)*'Temperature in bundle'!$Q$7)^0.5)/2/(O192+Q$7)))</f>
        <v/>
      </c>
      <c r="Q192" s="98"/>
      <c r="R192" s="101"/>
      <c r="T192" s="100"/>
      <c r="U192" s="119" t="str">
        <f>IF('Temperature in bundle'!$P$4="Current = 1A per pair",2,IF($A192="","",('Temperature in bundle'!$Q$6-('Temperature in bundle'!$Q$6^2-4*(T192+V$7)*'Temperature in bundle'!$Q$7)^0.5)/2/(T192+V$7)))</f>
        <v/>
      </c>
      <c r="V192" s="98"/>
      <c r="W192" s="101"/>
      <c r="Y192" s="100"/>
      <c r="Z192" s="119" t="str">
        <f>IF('Temperature in bundle'!$P$4="Current = 1A per pair",2,IF($A192="","",('Temperature in bundle'!$Q$6-('Temperature in bundle'!$Q$6^2-4*(Y192+AA$7)*'Temperature in bundle'!$Q$7)^0.5)/2/(Y192+AA$7)))</f>
        <v/>
      </c>
      <c r="AA192" s="98"/>
      <c r="AB192" s="101"/>
    </row>
    <row r="193" spans="2:28">
      <c r="B193" s="113"/>
      <c r="C193" s="113"/>
      <c r="D193" s="113"/>
      <c r="E193" s="113"/>
      <c r="F193" s="113"/>
      <c r="G193" s="113"/>
      <c r="J193" s="116"/>
      <c r="K193" s="119"/>
      <c r="L193" s="98"/>
      <c r="M193" s="101"/>
      <c r="O193" s="100"/>
      <c r="P193" s="119" t="str">
        <f>IF('Temperature in bundle'!$P$4="Current = 1A per pair",2,IF($A193="","",('Temperature in bundle'!$Q$6-('Temperature in bundle'!$Q$6^2-4*(O193+Q$7)*'Temperature in bundle'!$Q$7)^0.5)/2/(O193+Q$7)))</f>
        <v/>
      </c>
      <c r="Q193" s="98"/>
      <c r="R193" s="101"/>
      <c r="T193" s="100"/>
      <c r="U193" s="119" t="str">
        <f>IF('Temperature in bundle'!$P$4="Current = 1A per pair",2,IF($A193="","",('Temperature in bundle'!$Q$6-('Temperature in bundle'!$Q$6^2-4*(T193+V$7)*'Temperature in bundle'!$Q$7)^0.5)/2/(T193+V$7)))</f>
        <v/>
      </c>
      <c r="V193" s="98"/>
      <c r="W193" s="101"/>
      <c r="Y193" s="100"/>
      <c r="Z193" s="119" t="str">
        <f>IF('Temperature in bundle'!$P$4="Current = 1A per pair",2,IF($A193="","",('Temperature in bundle'!$Q$6-('Temperature in bundle'!$Q$6^2-4*(Y193+AA$7)*'Temperature in bundle'!$Q$7)^0.5)/2/(Y193+AA$7)))</f>
        <v/>
      </c>
      <c r="AA193" s="98"/>
      <c r="AB193" s="101"/>
    </row>
    <row r="194" spans="2:28">
      <c r="B194" s="113"/>
      <c r="C194" s="113"/>
      <c r="D194" s="113"/>
      <c r="E194" s="113"/>
      <c r="F194" s="113"/>
      <c r="G194" s="113"/>
      <c r="J194" s="116"/>
      <c r="K194" s="119"/>
      <c r="L194" s="98"/>
      <c r="M194" s="101"/>
      <c r="O194" s="100"/>
      <c r="P194" s="119" t="str">
        <f>IF('Temperature in bundle'!$P$4="Current = 1A per pair",2,IF($A194="","",('Temperature in bundle'!$Q$6-('Temperature in bundle'!$Q$6^2-4*(O194+Q$7)*'Temperature in bundle'!$Q$7)^0.5)/2/(O194+Q$7)))</f>
        <v/>
      </c>
      <c r="Q194" s="98"/>
      <c r="R194" s="101"/>
      <c r="T194" s="100"/>
      <c r="U194" s="119" t="str">
        <f>IF('Temperature in bundle'!$P$4="Current = 1A per pair",2,IF($A194="","",('Temperature in bundle'!$Q$6-('Temperature in bundle'!$Q$6^2-4*(T194+V$7)*'Temperature in bundle'!$Q$7)^0.5)/2/(T194+V$7)))</f>
        <v/>
      </c>
      <c r="V194" s="98"/>
      <c r="W194" s="101"/>
      <c r="Y194" s="100"/>
      <c r="Z194" s="119" t="str">
        <f>IF('Temperature in bundle'!$P$4="Current = 1A per pair",2,IF($A194="","",('Temperature in bundle'!$Q$6-('Temperature in bundle'!$Q$6^2-4*(Y194+AA$7)*'Temperature in bundle'!$Q$7)^0.5)/2/(Y194+AA$7)))</f>
        <v/>
      </c>
      <c r="AA194" s="98"/>
      <c r="AB194" s="101"/>
    </row>
    <row r="195" spans="2:28">
      <c r="B195" s="113"/>
      <c r="C195" s="113"/>
      <c r="D195" s="113"/>
      <c r="E195" s="113"/>
      <c r="F195" s="113"/>
      <c r="G195" s="113"/>
      <c r="J195" s="116"/>
      <c r="K195" s="119"/>
      <c r="L195" s="98"/>
      <c r="M195" s="101"/>
      <c r="O195" s="100"/>
      <c r="P195" s="119" t="str">
        <f>IF('Temperature in bundle'!$P$4="Current = 1A per pair",2,IF($A195="","",('Temperature in bundle'!$Q$6-('Temperature in bundle'!$Q$6^2-4*(O195+Q$7)*'Temperature in bundle'!$Q$7)^0.5)/2/(O195+Q$7)))</f>
        <v/>
      </c>
      <c r="Q195" s="98"/>
      <c r="R195" s="101"/>
      <c r="T195" s="100"/>
      <c r="U195" s="119" t="str">
        <f>IF('Temperature in bundle'!$P$4="Current = 1A per pair",2,IF($A195="","",('Temperature in bundle'!$Q$6-('Temperature in bundle'!$Q$6^2-4*(T195+V$7)*'Temperature in bundle'!$Q$7)^0.5)/2/(T195+V$7)))</f>
        <v/>
      </c>
      <c r="V195" s="98"/>
      <c r="W195" s="101"/>
      <c r="Y195" s="100"/>
      <c r="Z195" s="119" t="str">
        <f>IF('Temperature in bundle'!$P$4="Current = 1A per pair",2,IF($A195="","",('Temperature in bundle'!$Q$6-('Temperature in bundle'!$Q$6^2-4*(Y195+AA$7)*'Temperature in bundle'!$Q$7)^0.5)/2/(Y195+AA$7)))</f>
        <v/>
      </c>
      <c r="AA195" s="98"/>
      <c r="AB195" s="101"/>
    </row>
    <row r="196" spans="2:28">
      <c r="B196" s="113"/>
      <c r="C196" s="113"/>
      <c r="D196" s="113"/>
      <c r="E196" s="113"/>
      <c r="F196" s="113"/>
      <c r="G196" s="113"/>
      <c r="J196" s="116"/>
      <c r="K196" s="119"/>
      <c r="L196" s="98"/>
      <c r="M196" s="101"/>
      <c r="O196" s="100"/>
      <c r="P196" s="119" t="str">
        <f>IF('Temperature in bundle'!$P$4="Current = 1A per pair",2,IF($A196="","",('Temperature in bundle'!$Q$6-('Temperature in bundle'!$Q$6^2-4*(O196+Q$7)*'Temperature in bundle'!$Q$7)^0.5)/2/(O196+Q$7)))</f>
        <v/>
      </c>
      <c r="Q196" s="98"/>
      <c r="R196" s="101"/>
      <c r="T196" s="100"/>
      <c r="U196" s="119" t="str">
        <f>IF('Temperature in bundle'!$P$4="Current = 1A per pair",2,IF($A196="","",('Temperature in bundle'!$Q$6-('Temperature in bundle'!$Q$6^2-4*(T196+V$7)*'Temperature in bundle'!$Q$7)^0.5)/2/(T196+V$7)))</f>
        <v/>
      </c>
      <c r="V196" s="98"/>
      <c r="W196" s="101"/>
      <c r="Y196" s="100"/>
      <c r="Z196" s="119" t="str">
        <f>IF('Temperature in bundle'!$P$4="Current = 1A per pair",2,IF($A196="","",('Temperature in bundle'!$Q$6-('Temperature in bundle'!$Q$6^2-4*(Y196+AA$7)*'Temperature in bundle'!$Q$7)^0.5)/2/(Y196+AA$7)))</f>
        <v/>
      </c>
      <c r="AA196" s="98"/>
      <c r="AB196" s="101"/>
    </row>
    <row r="197" spans="2:28">
      <c r="B197" s="113"/>
      <c r="C197" s="113"/>
      <c r="D197" s="113"/>
      <c r="E197" s="113"/>
      <c r="F197" s="113"/>
      <c r="G197" s="113"/>
      <c r="J197" s="116"/>
      <c r="K197" s="119"/>
      <c r="L197" s="98"/>
      <c r="M197" s="101"/>
      <c r="O197" s="100"/>
      <c r="P197" s="119" t="str">
        <f>IF('Temperature in bundle'!$P$4="Current = 1A per pair",2,IF($A197="","",('Temperature in bundle'!$Q$6-('Temperature in bundle'!$Q$6^2-4*(O197+Q$7)*'Temperature in bundle'!$Q$7)^0.5)/2/(O197+Q$7)))</f>
        <v/>
      </c>
      <c r="Q197" s="98"/>
      <c r="R197" s="101"/>
      <c r="T197" s="100"/>
      <c r="U197" s="119" t="str">
        <f>IF('Temperature in bundle'!$P$4="Current = 1A per pair",2,IF($A197="","",('Temperature in bundle'!$Q$6-('Temperature in bundle'!$Q$6^2-4*(T197+V$7)*'Temperature in bundle'!$Q$7)^0.5)/2/(T197+V$7)))</f>
        <v/>
      </c>
      <c r="V197" s="98"/>
      <c r="W197" s="101"/>
      <c r="Y197" s="100"/>
      <c r="Z197" s="119" t="str">
        <f>IF('Temperature in bundle'!$P$4="Current = 1A per pair",2,IF($A197="","",('Temperature in bundle'!$Q$6-('Temperature in bundle'!$Q$6^2-4*(Y197+AA$7)*'Temperature in bundle'!$Q$7)^0.5)/2/(Y197+AA$7)))</f>
        <v/>
      </c>
      <c r="AA197" s="98"/>
      <c r="AB197" s="101"/>
    </row>
    <row r="198" spans="2:28">
      <c r="B198" s="113"/>
      <c r="C198" s="113"/>
      <c r="D198" s="113"/>
      <c r="E198" s="113"/>
      <c r="F198" s="113"/>
      <c r="G198" s="113"/>
      <c r="J198" s="116"/>
      <c r="K198" s="119"/>
      <c r="L198" s="98"/>
      <c r="M198" s="101"/>
      <c r="O198" s="100"/>
      <c r="P198" s="119" t="str">
        <f>IF('Temperature in bundle'!$P$4="Current = 1A per pair",2,IF($A198="","",('Temperature in bundle'!$Q$6-('Temperature in bundle'!$Q$6^2-4*(O198+Q$7)*'Temperature in bundle'!$Q$7)^0.5)/2/(O198+Q$7)))</f>
        <v/>
      </c>
      <c r="Q198" s="98"/>
      <c r="R198" s="101"/>
      <c r="T198" s="100"/>
      <c r="U198" s="119" t="str">
        <f>IF('Temperature in bundle'!$P$4="Current = 1A per pair",2,IF($A198="","",('Temperature in bundle'!$Q$6-('Temperature in bundle'!$Q$6^2-4*(T198+V$7)*'Temperature in bundle'!$Q$7)^0.5)/2/(T198+V$7)))</f>
        <v/>
      </c>
      <c r="V198" s="98"/>
      <c r="W198" s="101"/>
      <c r="Y198" s="100"/>
      <c r="Z198" s="119" t="str">
        <f>IF('Temperature in bundle'!$P$4="Current = 1A per pair",2,IF($A198="","",('Temperature in bundle'!$Q$6-('Temperature in bundle'!$Q$6^2-4*(Y198+AA$7)*'Temperature in bundle'!$Q$7)^0.5)/2/(Y198+AA$7)))</f>
        <v/>
      </c>
      <c r="AA198" s="98"/>
      <c r="AB198" s="101"/>
    </row>
    <row r="199" spans="2:28">
      <c r="B199" s="113"/>
      <c r="C199" s="113"/>
      <c r="D199" s="113"/>
      <c r="E199" s="113"/>
      <c r="F199" s="113"/>
      <c r="G199" s="113"/>
      <c r="J199" s="116"/>
      <c r="K199" s="119"/>
      <c r="L199" s="98"/>
      <c r="M199" s="101"/>
      <c r="O199" s="100"/>
      <c r="P199" s="119" t="str">
        <f>IF('Temperature in bundle'!$P$4="Current = 1A per pair",2,IF($A199="","",('Temperature in bundle'!$Q$6-('Temperature in bundle'!$Q$6^2-4*(O199+Q$7)*'Temperature in bundle'!$Q$7)^0.5)/2/(O199+Q$7)))</f>
        <v/>
      </c>
      <c r="Q199" s="98"/>
      <c r="R199" s="101"/>
      <c r="T199" s="100"/>
      <c r="U199" s="119" t="str">
        <f>IF('Temperature in bundle'!$P$4="Current = 1A per pair",2,IF($A199="","",('Temperature in bundle'!$Q$6-('Temperature in bundle'!$Q$6^2-4*(T199+V$7)*'Temperature in bundle'!$Q$7)^0.5)/2/(T199+V$7)))</f>
        <v/>
      </c>
      <c r="V199" s="98"/>
      <c r="W199" s="101"/>
      <c r="Y199" s="100"/>
      <c r="Z199" s="119" t="str">
        <f>IF('Temperature in bundle'!$P$4="Current = 1A per pair",2,IF($A199="","",('Temperature in bundle'!$Q$6-('Temperature in bundle'!$Q$6^2-4*(Y199+AA$7)*'Temperature in bundle'!$Q$7)^0.5)/2/(Y199+AA$7)))</f>
        <v/>
      </c>
      <c r="AA199" s="98"/>
      <c r="AB199" s="101"/>
    </row>
    <row r="200" spans="2:28">
      <c r="B200" s="113"/>
      <c r="C200" s="113"/>
      <c r="D200" s="113"/>
      <c r="E200" s="113"/>
      <c r="F200" s="113"/>
      <c r="G200" s="113"/>
      <c r="J200" s="116"/>
      <c r="K200" s="119"/>
      <c r="L200" s="98"/>
      <c r="M200" s="101"/>
      <c r="O200" s="100"/>
      <c r="P200" s="119" t="str">
        <f>IF('Temperature in bundle'!$P$4="Current = 1A per pair",2,IF($A200="","",('Temperature in bundle'!$Q$6-('Temperature in bundle'!$Q$6^2-4*(O200+Q$7)*'Temperature in bundle'!$Q$7)^0.5)/2/(O200+Q$7)))</f>
        <v/>
      </c>
      <c r="Q200" s="98"/>
      <c r="R200" s="101"/>
      <c r="T200" s="100"/>
      <c r="U200" s="119" t="str">
        <f>IF('Temperature in bundle'!$P$4="Current = 1A per pair",2,IF($A200="","",('Temperature in bundle'!$Q$6-('Temperature in bundle'!$Q$6^2-4*(T200+V$7)*'Temperature in bundle'!$Q$7)^0.5)/2/(T200+V$7)))</f>
        <v/>
      </c>
      <c r="V200" s="98"/>
      <c r="W200" s="101"/>
      <c r="Y200" s="100"/>
      <c r="Z200" s="119" t="str">
        <f>IF('Temperature in bundle'!$P$4="Current = 1A per pair",2,IF($A200="","",('Temperature in bundle'!$Q$6-('Temperature in bundle'!$Q$6^2-4*(Y200+AA$7)*'Temperature in bundle'!$Q$7)^0.5)/2/(Y200+AA$7)))</f>
        <v/>
      </c>
      <c r="AA200" s="98"/>
      <c r="AB200" s="101"/>
    </row>
    <row r="201" spans="2:28">
      <c r="B201" s="113"/>
      <c r="C201" s="113"/>
      <c r="D201" s="113"/>
      <c r="E201" s="113"/>
      <c r="F201" s="113"/>
      <c r="G201" s="113"/>
      <c r="J201" s="116"/>
      <c r="K201" s="119"/>
      <c r="L201" s="98"/>
      <c r="M201" s="101"/>
      <c r="O201" s="100"/>
      <c r="P201" s="119" t="str">
        <f>IF('Temperature in bundle'!$P$4="Current = 1A per pair",2,IF($A201="","",('Temperature in bundle'!$Q$6-('Temperature in bundle'!$Q$6^2-4*(O201+Q$7)*'Temperature in bundle'!$Q$7)^0.5)/2/(O201+Q$7)))</f>
        <v/>
      </c>
      <c r="Q201" s="98"/>
      <c r="R201" s="101"/>
      <c r="T201" s="100"/>
      <c r="U201" s="119" t="str">
        <f>IF('Temperature in bundle'!$P$4="Current = 1A per pair",2,IF($A201="","",('Temperature in bundle'!$Q$6-('Temperature in bundle'!$Q$6^2-4*(T201+V$7)*'Temperature in bundle'!$Q$7)^0.5)/2/(T201+V$7)))</f>
        <v/>
      </c>
      <c r="V201" s="98"/>
      <c r="W201" s="101"/>
      <c r="Y201" s="100"/>
      <c r="Z201" s="119" t="str">
        <f>IF('Temperature in bundle'!$P$4="Current = 1A per pair",2,IF($A201="","",('Temperature in bundle'!$Q$6-('Temperature in bundle'!$Q$6^2-4*(Y201+AA$7)*'Temperature in bundle'!$Q$7)^0.5)/2/(Y201+AA$7)))</f>
        <v/>
      </c>
      <c r="AA201" s="98"/>
      <c r="AB201" s="101"/>
    </row>
    <row r="202" spans="2:28">
      <c r="B202" s="113"/>
      <c r="C202" s="113"/>
      <c r="D202" s="113"/>
      <c r="E202" s="113"/>
      <c r="F202" s="113"/>
      <c r="G202" s="113"/>
      <c r="J202" s="116"/>
      <c r="K202" s="119"/>
      <c r="L202" s="98"/>
      <c r="M202" s="101"/>
      <c r="O202" s="100"/>
      <c r="P202" s="119" t="str">
        <f>IF('Temperature in bundle'!$P$4="Current = 1A per pair",2,IF($A202="","",('Temperature in bundle'!$Q$6-('Temperature in bundle'!$Q$6^2-4*(O202+Q$7)*'Temperature in bundle'!$Q$7)^0.5)/2/(O202+Q$7)))</f>
        <v/>
      </c>
      <c r="Q202" s="98"/>
      <c r="R202" s="101"/>
      <c r="T202" s="100"/>
      <c r="U202" s="119" t="str">
        <f>IF('Temperature in bundle'!$P$4="Current = 1A per pair",2,IF($A202="","",('Temperature in bundle'!$Q$6-('Temperature in bundle'!$Q$6^2-4*(T202+V$7)*'Temperature in bundle'!$Q$7)^0.5)/2/(T202+V$7)))</f>
        <v/>
      </c>
      <c r="V202" s="98"/>
      <c r="W202" s="101"/>
      <c r="Y202" s="100"/>
      <c r="Z202" s="119" t="str">
        <f>IF('Temperature in bundle'!$P$4="Current = 1A per pair",2,IF($A202="","",('Temperature in bundle'!$Q$6-('Temperature in bundle'!$Q$6^2-4*(Y202+AA$7)*'Temperature in bundle'!$Q$7)^0.5)/2/(Y202+AA$7)))</f>
        <v/>
      </c>
      <c r="AA202" s="98"/>
      <c r="AB202" s="101"/>
    </row>
    <row r="203" spans="2:28">
      <c r="B203" s="113"/>
      <c r="C203" s="113"/>
      <c r="D203" s="113"/>
      <c r="E203" s="113"/>
      <c r="F203" s="113"/>
      <c r="G203" s="113"/>
      <c r="J203" s="116"/>
      <c r="K203" s="119"/>
      <c r="L203" s="98"/>
      <c r="M203" s="101"/>
      <c r="O203" s="100"/>
      <c r="P203" s="119" t="str">
        <f>IF('Temperature in bundle'!$P$4="Current = 1A per pair",2,IF($A203="","",('Temperature in bundle'!$Q$6-('Temperature in bundle'!$Q$6^2-4*(O203+Q$7)*'Temperature in bundle'!$Q$7)^0.5)/2/(O203+Q$7)))</f>
        <v/>
      </c>
      <c r="Q203" s="98"/>
      <c r="R203" s="101"/>
      <c r="T203" s="100"/>
      <c r="U203" s="119" t="str">
        <f>IF('Temperature in bundle'!$P$4="Current = 1A per pair",2,IF($A203="","",('Temperature in bundle'!$Q$6-('Temperature in bundle'!$Q$6^2-4*(T203+V$7)*'Temperature in bundle'!$Q$7)^0.5)/2/(T203+V$7)))</f>
        <v/>
      </c>
      <c r="V203" s="98"/>
      <c r="W203" s="101"/>
      <c r="Y203" s="100"/>
      <c r="Z203" s="119" t="str">
        <f>IF('Temperature in bundle'!$P$4="Current = 1A per pair",2,IF($A203="","",('Temperature in bundle'!$Q$6-('Temperature in bundle'!$Q$6^2-4*(Y203+AA$7)*'Temperature in bundle'!$Q$7)^0.5)/2/(Y203+AA$7)))</f>
        <v/>
      </c>
      <c r="AA203" s="98"/>
      <c r="AB203" s="101"/>
    </row>
    <row r="204" spans="2:28">
      <c r="B204" s="113"/>
      <c r="C204" s="113"/>
      <c r="D204" s="113"/>
      <c r="E204" s="113"/>
      <c r="F204" s="113"/>
      <c r="G204" s="113"/>
      <c r="J204" s="116"/>
      <c r="K204" s="119"/>
      <c r="L204" s="98"/>
      <c r="M204" s="101"/>
      <c r="O204" s="100"/>
      <c r="P204" s="119" t="str">
        <f>IF('Temperature in bundle'!$P$4="Current = 1A per pair",2,IF($A204="","",('Temperature in bundle'!$Q$6-('Temperature in bundle'!$Q$6^2-4*(O204+Q$7)*'Temperature in bundle'!$Q$7)^0.5)/2/(O204+Q$7)))</f>
        <v/>
      </c>
      <c r="Q204" s="98"/>
      <c r="R204" s="101"/>
      <c r="T204" s="100"/>
      <c r="U204" s="119" t="str">
        <f>IF('Temperature in bundle'!$P$4="Current = 1A per pair",2,IF($A204="","",('Temperature in bundle'!$Q$6-('Temperature in bundle'!$Q$6^2-4*(T204+V$7)*'Temperature in bundle'!$Q$7)^0.5)/2/(T204+V$7)))</f>
        <v/>
      </c>
      <c r="V204" s="98"/>
      <c r="W204" s="101"/>
      <c r="Y204" s="100"/>
      <c r="Z204" s="119" t="str">
        <f>IF('Temperature in bundle'!$P$4="Current = 1A per pair",2,IF($A204="","",('Temperature in bundle'!$Q$6-('Temperature in bundle'!$Q$6^2-4*(Y204+AA$7)*'Temperature in bundle'!$Q$7)^0.5)/2/(Y204+AA$7)))</f>
        <v/>
      </c>
      <c r="AA204" s="98"/>
      <c r="AB204" s="101"/>
    </row>
    <row r="205" spans="2:28">
      <c r="B205" s="113"/>
      <c r="C205" s="113"/>
      <c r="D205" s="113"/>
      <c r="E205" s="113"/>
      <c r="F205" s="113"/>
      <c r="G205" s="113"/>
      <c r="J205" s="116"/>
      <c r="K205" s="119"/>
      <c r="L205" s="98"/>
      <c r="M205" s="101"/>
      <c r="O205" s="100"/>
      <c r="P205" s="119" t="str">
        <f>IF('Temperature in bundle'!$P$4="Current = 1A per pair",2,IF($A205="","",('Temperature in bundle'!$Q$6-('Temperature in bundle'!$Q$6^2-4*(O205+Q$7)*'Temperature in bundle'!$Q$7)^0.5)/2/(O205+Q$7)))</f>
        <v/>
      </c>
      <c r="Q205" s="98"/>
      <c r="R205" s="101"/>
      <c r="T205" s="100"/>
      <c r="U205" s="119" t="str">
        <f>IF('Temperature in bundle'!$P$4="Current = 1A per pair",2,IF($A205="","",('Temperature in bundle'!$Q$6-('Temperature in bundle'!$Q$6^2-4*(T205+V$7)*'Temperature in bundle'!$Q$7)^0.5)/2/(T205+V$7)))</f>
        <v/>
      </c>
      <c r="V205" s="98"/>
      <c r="W205" s="101"/>
      <c r="Y205" s="100"/>
      <c r="Z205" s="119" t="str">
        <f>IF('Temperature in bundle'!$P$4="Current = 1A per pair",2,IF($A205="","",('Temperature in bundle'!$Q$6-('Temperature in bundle'!$Q$6^2-4*(Y205+AA$7)*'Temperature in bundle'!$Q$7)^0.5)/2/(Y205+AA$7)))</f>
        <v/>
      </c>
      <c r="AA205" s="98"/>
      <c r="AB205" s="101"/>
    </row>
    <row r="206" spans="2:28">
      <c r="B206" s="113"/>
      <c r="C206" s="113"/>
      <c r="D206" s="113"/>
      <c r="E206" s="113"/>
      <c r="F206" s="113"/>
      <c r="G206" s="113"/>
      <c r="J206" s="116"/>
      <c r="K206" s="119"/>
      <c r="L206" s="98"/>
      <c r="M206" s="101"/>
      <c r="O206" s="100"/>
      <c r="P206" s="119" t="str">
        <f>IF('Temperature in bundle'!$P$4="Current = 1A per pair",2,IF($A206="","",('Temperature in bundle'!$Q$6-('Temperature in bundle'!$Q$6^2-4*(O206+Q$7)*'Temperature in bundle'!$Q$7)^0.5)/2/(O206+Q$7)))</f>
        <v/>
      </c>
      <c r="Q206" s="98"/>
      <c r="R206" s="101"/>
      <c r="T206" s="100"/>
      <c r="U206" s="119" t="str">
        <f>IF('Temperature in bundle'!$P$4="Current = 1A per pair",2,IF($A206="","",('Temperature in bundle'!$Q$6-('Temperature in bundle'!$Q$6^2-4*(T206+V$7)*'Temperature in bundle'!$Q$7)^0.5)/2/(T206+V$7)))</f>
        <v/>
      </c>
      <c r="V206" s="98"/>
      <c r="W206" s="101"/>
      <c r="Y206" s="100"/>
      <c r="Z206" s="119" t="str">
        <f>IF('Temperature in bundle'!$P$4="Current = 1A per pair",2,IF($A206="","",('Temperature in bundle'!$Q$6-('Temperature in bundle'!$Q$6^2-4*(Y206+AA$7)*'Temperature in bundle'!$Q$7)^0.5)/2/(Y206+AA$7)))</f>
        <v/>
      </c>
      <c r="AA206" s="98"/>
      <c r="AB206" s="101"/>
    </row>
    <row r="207" spans="2:28">
      <c r="B207" s="113"/>
      <c r="C207" s="113"/>
      <c r="D207" s="113"/>
      <c r="E207" s="113"/>
      <c r="F207" s="113"/>
      <c r="G207" s="113"/>
      <c r="J207" s="116"/>
      <c r="K207" s="119"/>
      <c r="L207" s="98"/>
      <c r="M207" s="101"/>
      <c r="O207" s="100"/>
      <c r="P207" s="119" t="str">
        <f>IF('Temperature in bundle'!$P$4="Current = 1A per pair",2,IF($A207="","",('Temperature in bundle'!$Q$6-('Temperature in bundle'!$Q$6^2-4*(O207+Q$7)*'Temperature in bundle'!$Q$7)^0.5)/2/(O207+Q$7)))</f>
        <v/>
      </c>
      <c r="Q207" s="98"/>
      <c r="R207" s="101"/>
      <c r="T207" s="100"/>
      <c r="U207" s="119" t="str">
        <f>IF('Temperature in bundle'!$P$4="Current = 1A per pair",2,IF($A207="","",('Temperature in bundle'!$Q$6-('Temperature in bundle'!$Q$6^2-4*(T207+V$7)*'Temperature in bundle'!$Q$7)^0.5)/2/(T207+V$7)))</f>
        <v/>
      </c>
      <c r="V207" s="98"/>
      <c r="W207" s="101"/>
      <c r="Y207" s="100"/>
      <c r="Z207" s="119" t="str">
        <f>IF('Temperature in bundle'!$P$4="Current = 1A per pair",2,IF($A207="","",('Temperature in bundle'!$Q$6-('Temperature in bundle'!$Q$6^2-4*(Y207+AA$7)*'Temperature in bundle'!$Q$7)^0.5)/2/(Y207+AA$7)))</f>
        <v/>
      </c>
      <c r="AA207" s="98"/>
      <c r="AB207" s="101"/>
    </row>
    <row r="208" spans="2:28">
      <c r="B208" s="113"/>
      <c r="C208" s="113"/>
      <c r="D208" s="113"/>
      <c r="E208" s="113"/>
      <c r="F208" s="113"/>
      <c r="G208" s="113"/>
      <c r="J208" s="116"/>
      <c r="K208" s="119"/>
      <c r="L208" s="98"/>
      <c r="M208" s="101"/>
      <c r="O208" s="100"/>
      <c r="P208" s="119" t="str">
        <f>IF('Temperature in bundle'!$P$4="Current = 1A per pair",2,IF($A208="","",('Temperature in bundle'!$Q$6-('Temperature in bundle'!$Q$6^2-4*(O208+Q$7)*'Temperature in bundle'!$Q$7)^0.5)/2/(O208+Q$7)))</f>
        <v/>
      </c>
      <c r="Q208" s="98"/>
      <c r="R208" s="101"/>
      <c r="T208" s="100"/>
      <c r="U208" s="119" t="str">
        <f>IF('Temperature in bundle'!$P$4="Current = 1A per pair",2,IF($A208="","",('Temperature in bundle'!$Q$6-('Temperature in bundle'!$Q$6^2-4*(T208+V$7)*'Temperature in bundle'!$Q$7)^0.5)/2/(T208+V$7)))</f>
        <v/>
      </c>
      <c r="V208" s="98"/>
      <c r="W208" s="101"/>
      <c r="Y208" s="100"/>
      <c r="Z208" s="119" t="str">
        <f>IF('Temperature in bundle'!$P$4="Current = 1A per pair",2,IF($A208="","",('Temperature in bundle'!$Q$6-('Temperature in bundle'!$Q$6^2-4*(Y208+AA$7)*'Temperature in bundle'!$Q$7)^0.5)/2/(Y208+AA$7)))</f>
        <v/>
      </c>
      <c r="AA208" s="98"/>
      <c r="AB208" s="101"/>
    </row>
    <row r="209" spans="2:28">
      <c r="B209" s="113"/>
      <c r="C209" s="113"/>
      <c r="D209" s="113"/>
      <c r="E209" s="113"/>
      <c r="F209" s="113"/>
      <c r="G209" s="113"/>
      <c r="J209" s="116"/>
      <c r="K209" s="119"/>
      <c r="L209" s="98"/>
      <c r="M209" s="101"/>
      <c r="O209" s="100"/>
      <c r="P209" s="119" t="str">
        <f>IF('Temperature in bundle'!$P$4="Current = 1A per pair",2,IF($A209="","",('Temperature in bundle'!$Q$6-('Temperature in bundle'!$Q$6^2-4*(O209+Q$7)*'Temperature in bundle'!$Q$7)^0.5)/2/(O209+Q$7)))</f>
        <v/>
      </c>
      <c r="Q209" s="98"/>
      <c r="R209" s="101"/>
      <c r="T209" s="100"/>
      <c r="U209" s="119" t="str">
        <f>IF('Temperature in bundle'!$P$4="Current = 1A per pair",2,IF($A209="","",('Temperature in bundle'!$Q$6-('Temperature in bundle'!$Q$6^2-4*(T209+V$7)*'Temperature in bundle'!$Q$7)^0.5)/2/(T209+V$7)))</f>
        <v/>
      </c>
      <c r="V209" s="98"/>
      <c r="W209" s="101"/>
      <c r="Y209" s="100"/>
      <c r="Z209" s="119" t="str">
        <f>IF('Temperature in bundle'!$P$4="Current = 1A per pair",2,IF($A209="","",('Temperature in bundle'!$Q$6-('Temperature in bundle'!$Q$6^2-4*(Y209+AA$7)*'Temperature in bundle'!$Q$7)^0.5)/2/(Y209+AA$7)))</f>
        <v/>
      </c>
      <c r="AA209" s="98"/>
      <c r="AB209" s="101"/>
    </row>
    <row r="210" spans="2:28">
      <c r="B210" s="113"/>
      <c r="C210" s="113"/>
      <c r="D210" s="113"/>
      <c r="E210" s="113"/>
      <c r="F210" s="113"/>
      <c r="G210" s="113"/>
      <c r="J210" s="116"/>
      <c r="K210" s="119"/>
      <c r="L210" s="98"/>
      <c r="M210" s="101"/>
      <c r="O210" s="100"/>
      <c r="P210" s="119" t="str">
        <f>IF('Temperature in bundle'!$P$4="Current = 1A per pair",2,IF($A210="","",('Temperature in bundle'!$Q$6-('Temperature in bundle'!$Q$6^2-4*(O210+Q$7)*'Temperature in bundle'!$Q$7)^0.5)/2/(O210+Q$7)))</f>
        <v/>
      </c>
      <c r="Q210" s="98"/>
      <c r="R210" s="101"/>
      <c r="T210" s="100"/>
      <c r="U210" s="119" t="str">
        <f>IF('Temperature in bundle'!$P$4="Current = 1A per pair",2,IF($A210="","",('Temperature in bundle'!$Q$6-('Temperature in bundle'!$Q$6^2-4*(T210+V$7)*'Temperature in bundle'!$Q$7)^0.5)/2/(T210+V$7)))</f>
        <v/>
      </c>
      <c r="V210" s="98"/>
      <c r="W210" s="101"/>
      <c r="Y210" s="100"/>
      <c r="Z210" s="119" t="str">
        <f>IF('Temperature in bundle'!$P$4="Current = 1A per pair",2,IF($A210="","",('Temperature in bundle'!$Q$6-('Temperature in bundle'!$Q$6^2-4*(Y210+AA$7)*'Temperature in bundle'!$Q$7)^0.5)/2/(Y210+AA$7)))</f>
        <v/>
      </c>
      <c r="AA210" s="98"/>
      <c r="AB210" s="101"/>
    </row>
    <row r="211" spans="2:28">
      <c r="B211" s="113"/>
      <c r="C211" s="113"/>
      <c r="D211" s="113"/>
      <c r="E211" s="113"/>
      <c r="F211" s="113"/>
      <c r="G211" s="113"/>
      <c r="J211" s="116"/>
      <c r="K211" s="119"/>
      <c r="L211" s="98"/>
      <c r="M211" s="101"/>
      <c r="O211" s="100"/>
      <c r="P211" s="119" t="str">
        <f>IF('Temperature in bundle'!$P$4="Current = 1A per pair",2,IF($A211="","",('Temperature in bundle'!$Q$6-('Temperature in bundle'!$Q$6^2-4*(O211+Q$7)*'Temperature in bundle'!$Q$7)^0.5)/2/(O211+Q$7)))</f>
        <v/>
      </c>
      <c r="Q211" s="98"/>
      <c r="R211" s="101"/>
      <c r="T211" s="100"/>
      <c r="U211" s="119" t="str">
        <f>IF('Temperature in bundle'!$P$4="Current = 1A per pair",2,IF($A211="","",('Temperature in bundle'!$Q$6-('Temperature in bundle'!$Q$6^2-4*(T211+V$7)*'Temperature in bundle'!$Q$7)^0.5)/2/(T211+V$7)))</f>
        <v/>
      </c>
      <c r="V211" s="98"/>
      <c r="W211" s="101"/>
      <c r="Y211" s="100"/>
      <c r="Z211" s="119" t="str">
        <f>IF('Temperature in bundle'!$P$4="Current = 1A per pair",2,IF($A211="","",('Temperature in bundle'!$Q$6-('Temperature in bundle'!$Q$6^2-4*(Y211+AA$7)*'Temperature in bundle'!$Q$7)^0.5)/2/(Y211+AA$7)))</f>
        <v/>
      </c>
      <c r="AA211" s="98"/>
      <c r="AB211" s="101"/>
    </row>
    <row r="212" spans="2:28">
      <c r="B212" s="113"/>
      <c r="C212" s="113"/>
      <c r="D212" s="113"/>
      <c r="E212" s="113"/>
      <c r="F212" s="113"/>
      <c r="G212" s="113"/>
      <c r="J212" s="116"/>
      <c r="K212" s="119"/>
      <c r="L212" s="98"/>
      <c r="M212" s="101"/>
      <c r="O212" s="100"/>
      <c r="P212" s="119" t="str">
        <f>IF('Temperature in bundle'!$P$4="Current = 1A per pair",2,IF($A212="","",('Temperature in bundle'!$Q$6-('Temperature in bundle'!$Q$6^2-4*(O212+Q$7)*'Temperature in bundle'!$Q$7)^0.5)/2/(O212+Q$7)))</f>
        <v/>
      </c>
      <c r="Q212" s="98"/>
      <c r="R212" s="101"/>
      <c r="T212" s="100"/>
      <c r="U212" s="119" t="str">
        <f>IF('Temperature in bundle'!$P$4="Current = 1A per pair",2,IF($A212="","",('Temperature in bundle'!$Q$6-('Temperature in bundle'!$Q$6^2-4*(T212+V$7)*'Temperature in bundle'!$Q$7)^0.5)/2/(T212+V$7)))</f>
        <v/>
      </c>
      <c r="V212" s="98"/>
      <c r="W212" s="101"/>
      <c r="Y212" s="100"/>
      <c r="Z212" s="119" t="str">
        <f>IF('Temperature in bundle'!$P$4="Current = 1A per pair",2,IF($A212="","",('Temperature in bundle'!$Q$6-('Temperature in bundle'!$Q$6^2-4*(Y212+AA$7)*'Temperature in bundle'!$Q$7)^0.5)/2/(Y212+AA$7)))</f>
        <v/>
      </c>
      <c r="AA212" s="98"/>
      <c r="AB212" s="101"/>
    </row>
    <row r="213" spans="2:28">
      <c r="B213" s="113"/>
      <c r="C213" s="113"/>
      <c r="D213" s="113"/>
      <c r="E213" s="113"/>
      <c r="F213" s="113"/>
      <c r="G213" s="113"/>
      <c r="J213" s="116"/>
      <c r="K213" s="119"/>
      <c r="L213" s="98"/>
      <c r="M213" s="101"/>
      <c r="O213" s="100"/>
      <c r="P213" s="119" t="str">
        <f>IF('Temperature in bundle'!$P$4="Current = 1A per pair",2,IF($A213="","",('Temperature in bundle'!$Q$6-('Temperature in bundle'!$Q$6^2-4*(O213+Q$7)*'Temperature in bundle'!$Q$7)^0.5)/2/(O213+Q$7)))</f>
        <v/>
      </c>
      <c r="Q213" s="98"/>
      <c r="R213" s="101"/>
      <c r="T213" s="100"/>
      <c r="U213" s="119" t="str">
        <f>IF('Temperature in bundle'!$P$4="Current = 1A per pair",2,IF($A213="","",('Temperature in bundle'!$Q$6-('Temperature in bundle'!$Q$6^2-4*(T213+V$7)*'Temperature in bundle'!$Q$7)^0.5)/2/(T213+V$7)))</f>
        <v/>
      </c>
      <c r="V213" s="98"/>
      <c r="W213" s="101"/>
      <c r="Y213" s="100"/>
      <c r="Z213" s="119" t="str">
        <f>IF('Temperature in bundle'!$P$4="Current = 1A per pair",2,IF($A213="","",('Temperature in bundle'!$Q$6-('Temperature in bundle'!$Q$6^2-4*(Y213+AA$7)*'Temperature in bundle'!$Q$7)^0.5)/2/(Y213+AA$7)))</f>
        <v/>
      </c>
      <c r="AA213" s="98"/>
      <c r="AB213" s="101"/>
    </row>
    <row r="214" spans="2:28">
      <c r="B214" s="113"/>
      <c r="C214" s="113"/>
      <c r="D214" s="113"/>
      <c r="E214" s="113"/>
      <c r="F214" s="113"/>
      <c r="G214" s="113"/>
      <c r="J214" s="116"/>
      <c r="K214" s="119"/>
      <c r="L214" s="98"/>
      <c r="M214" s="101"/>
      <c r="O214" s="100"/>
      <c r="P214" s="119" t="str">
        <f>IF('Temperature in bundle'!$P$4="Current = 1A per pair",2,IF($A214="","",('Temperature in bundle'!$Q$6-('Temperature in bundle'!$Q$6^2-4*(O214+Q$7)*'Temperature in bundle'!$Q$7)^0.5)/2/(O214+Q$7)))</f>
        <v/>
      </c>
      <c r="Q214" s="98"/>
      <c r="R214" s="101"/>
      <c r="T214" s="100"/>
      <c r="U214" s="119" t="str">
        <f>IF('Temperature in bundle'!$P$4="Current = 1A per pair",2,IF($A214="","",('Temperature in bundle'!$Q$6-('Temperature in bundle'!$Q$6^2-4*(T214+V$7)*'Temperature in bundle'!$Q$7)^0.5)/2/(T214+V$7)))</f>
        <v/>
      </c>
      <c r="V214" s="98"/>
      <c r="W214" s="101"/>
      <c r="Y214" s="100"/>
      <c r="Z214" s="119" t="str">
        <f>IF('Temperature in bundle'!$P$4="Current = 1A per pair",2,IF($A214="","",('Temperature in bundle'!$Q$6-('Temperature in bundle'!$Q$6^2-4*(Y214+AA$7)*'Temperature in bundle'!$Q$7)^0.5)/2/(Y214+AA$7)))</f>
        <v/>
      </c>
      <c r="AA214" s="98"/>
      <c r="AB214" s="101"/>
    </row>
    <row r="215" spans="2:28">
      <c r="B215" s="113"/>
      <c r="C215" s="113"/>
      <c r="D215" s="113"/>
      <c r="E215" s="113"/>
      <c r="F215" s="113"/>
      <c r="G215" s="113"/>
      <c r="J215" s="116"/>
      <c r="K215" s="119"/>
      <c r="L215" s="98"/>
      <c r="M215" s="101"/>
      <c r="O215" s="100"/>
      <c r="P215" s="119" t="str">
        <f>IF('Temperature in bundle'!$P$4="Current = 1A per pair",2,IF($A215="","",('Temperature in bundle'!$Q$6-('Temperature in bundle'!$Q$6^2-4*(O215+Q$7)*'Temperature in bundle'!$Q$7)^0.5)/2/(O215+Q$7)))</f>
        <v/>
      </c>
      <c r="Q215" s="98"/>
      <c r="R215" s="101"/>
      <c r="T215" s="100"/>
      <c r="U215" s="119" t="str">
        <f>IF('Temperature in bundle'!$P$4="Current = 1A per pair",2,IF($A215="","",('Temperature in bundle'!$Q$6-('Temperature in bundle'!$Q$6^2-4*(T215+V$7)*'Temperature in bundle'!$Q$7)^0.5)/2/(T215+V$7)))</f>
        <v/>
      </c>
      <c r="V215" s="98"/>
      <c r="W215" s="101"/>
      <c r="Y215" s="100"/>
      <c r="Z215" s="119" t="str">
        <f>IF('Temperature in bundle'!$P$4="Current = 1A per pair",2,IF($A215="","",('Temperature in bundle'!$Q$6-('Temperature in bundle'!$Q$6^2-4*(Y215+AA$7)*'Temperature in bundle'!$Q$7)^0.5)/2/(Y215+AA$7)))</f>
        <v/>
      </c>
      <c r="AA215" s="98"/>
      <c r="AB215" s="101"/>
    </row>
    <row r="216" spans="2:28">
      <c r="B216" s="113"/>
      <c r="C216" s="113"/>
      <c r="D216" s="113"/>
      <c r="E216" s="113"/>
      <c r="F216" s="113"/>
      <c r="G216" s="113"/>
      <c r="J216" s="116"/>
      <c r="K216" s="119"/>
      <c r="L216" s="98"/>
      <c r="M216" s="101"/>
      <c r="O216" s="100"/>
      <c r="P216" s="119" t="str">
        <f>IF('Temperature in bundle'!$P$4="Current = 1A per pair",2,IF($A216="","",('Temperature in bundle'!$Q$6-('Temperature in bundle'!$Q$6^2-4*(O216+Q$7)*'Temperature in bundle'!$Q$7)^0.5)/2/(O216+Q$7)))</f>
        <v/>
      </c>
      <c r="Q216" s="98"/>
      <c r="R216" s="101"/>
      <c r="T216" s="100"/>
      <c r="U216" s="119" t="str">
        <f>IF('Temperature in bundle'!$P$4="Current = 1A per pair",2,IF($A216="","",('Temperature in bundle'!$Q$6-('Temperature in bundle'!$Q$6^2-4*(T216+V$7)*'Temperature in bundle'!$Q$7)^0.5)/2/(T216+V$7)))</f>
        <v/>
      </c>
      <c r="V216" s="98"/>
      <c r="W216" s="101"/>
      <c r="Y216" s="100"/>
      <c r="Z216" s="119" t="str">
        <f>IF('Temperature in bundle'!$P$4="Current = 1A per pair",2,IF($A216="","",('Temperature in bundle'!$Q$6-('Temperature in bundle'!$Q$6^2-4*(Y216+AA$7)*'Temperature in bundle'!$Q$7)^0.5)/2/(Y216+AA$7)))</f>
        <v/>
      </c>
      <c r="AA216" s="98"/>
      <c r="AB216" s="101"/>
    </row>
    <row r="217" spans="2:28">
      <c r="B217" s="113"/>
      <c r="C217" s="113"/>
      <c r="D217" s="113"/>
      <c r="E217" s="113"/>
      <c r="F217" s="113"/>
      <c r="G217" s="113"/>
      <c r="J217" s="116"/>
      <c r="K217" s="119"/>
      <c r="L217" s="98"/>
      <c r="M217" s="101"/>
      <c r="O217" s="100"/>
      <c r="P217" s="119" t="str">
        <f>IF('Temperature in bundle'!$P$4="Current = 1A per pair",2,IF($A217="","",('Temperature in bundle'!$Q$6-('Temperature in bundle'!$Q$6^2-4*(O217+Q$7)*'Temperature in bundle'!$Q$7)^0.5)/2/(O217+Q$7)))</f>
        <v/>
      </c>
      <c r="Q217" s="98"/>
      <c r="R217" s="101"/>
      <c r="T217" s="100"/>
      <c r="U217" s="119" t="str">
        <f>IF('Temperature in bundle'!$P$4="Current = 1A per pair",2,IF($A217="","",('Temperature in bundle'!$Q$6-('Temperature in bundle'!$Q$6^2-4*(T217+V$7)*'Temperature in bundle'!$Q$7)^0.5)/2/(T217+V$7)))</f>
        <v/>
      </c>
      <c r="V217" s="98"/>
      <c r="W217" s="101"/>
      <c r="Y217" s="100"/>
      <c r="Z217" s="119" t="str">
        <f>IF('Temperature in bundle'!$P$4="Current = 1A per pair",2,IF($A217="","",('Temperature in bundle'!$Q$6-('Temperature in bundle'!$Q$6^2-4*(Y217+AA$7)*'Temperature in bundle'!$Q$7)^0.5)/2/(Y217+AA$7)))</f>
        <v/>
      </c>
      <c r="AA217" s="98"/>
      <c r="AB217" s="101"/>
    </row>
    <row r="218" spans="2:28">
      <c r="B218" s="113"/>
      <c r="C218" s="113"/>
      <c r="D218" s="113"/>
      <c r="E218" s="113"/>
      <c r="F218" s="113"/>
      <c r="G218" s="113"/>
      <c r="J218" s="116"/>
      <c r="K218" s="119"/>
      <c r="L218" s="98"/>
      <c r="M218" s="101"/>
      <c r="O218" s="100"/>
      <c r="P218" s="119" t="str">
        <f>IF('Temperature in bundle'!$P$4="Current = 1A per pair",2,IF($A218="","",('Temperature in bundle'!$Q$6-('Temperature in bundle'!$Q$6^2-4*(O218+Q$7)*'Temperature in bundle'!$Q$7)^0.5)/2/(O218+Q$7)))</f>
        <v/>
      </c>
      <c r="Q218" s="98"/>
      <c r="R218" s="101"/>
      <c r="T218" s="100"/>
      <c r="U218" s="119" t="str">
        <f>IF('Temperature in bundle'!$P$4="Current = 1A per pair",2,IF($A218="","",('Temperature in bundle'!$Q$6-('Temperature in bundle'!$Q$6^2-4*(T218+V$7)*'Temperature in bundle'!$Q$7)^0.5)/2/(T218+V$7)))</f>
        <v/>
      </c>
      <c r="V218" s="98"/>
      <c r="W218" s="101"/>
      <c r="Y218" s="100"/>
      <c r="Z218" s="119" t="str">
        <f>IF('Temperature in bundle'!$P$4="Current = 1A per pair",2,IF($A218="","",('Temperature in bundle'!$Q$6-('Temperature in bundle'!$Q$6^2-4*(Y218+AA$7)*'Temperature in bundle'!$Q$7)^0.5)/2/(Y218+AA$7)))</f>
        <v/>
      </c>
      <c r="AA218" s="98"/>
      <c r="AB218" s="101"/>
    </row>
    <row r="219" spans="2:28">
      <c r="B219" s="113"/>
      <c r="C219" s="113"/>
      <c r="D219" s="113"/>
      <c r="E219" s="113"/>
      <c r="F219" s="113"/>
      <c r="G219" s="113"/>
      <c r="J219" s="116"/>
      <c r="K219" s="119"/>
      <c r="L219" s="98"/>
      <c r="M219" s="101"/>
      <c r="O219" s="100"/>
      <c r="P219" s="119" t="str">
        <f>IF('Temperature in bundle'!$P$4="Current = 1A per pair",2,IF($A219="","",('Temperature in bundle'!$Q$6-('Temperature in bundle'!$Q$6^2-4*(O219+Q$7)*'Temperature in bundle'!$Q$7)^0.5)/2/(O219+Q$7)))</f>
        <v/>
      </c>
      <c r="Q219" s="98"/>
      <c r="R219" s="101"/>
      <c r="T219" s="100"/>
      <c r="U219" s="119" t="str">
        <f>IF('Temperature in bundle'!$P$4="Current = 1A per pair",2,IF($A219="","",('Temperature in bundle'!$Q$6-('Temperature in bundle'!$Q$6^2-4*(T219+V$7)*'Temperature in bundle'!$Q$7)^0.5)/2/(T219+V$7)))</f>
        <v/>
      </c>
      <c r="V219" s="98"/>
      <c r="W219" s="101"/>
      <c r="Y219" s="100"/>
      <c r="Z219" s="119" t="str">
        <f>IF('Temperature in bundle'!$P$4="Current = 1A per pair",2,IF($A219="","",('Temperature in bundle'!$Q$6-('Temperature in bundle'!$Q$6^2-4*(Y219+AA$7)*'Temperature in bundle'!$Q$7)^0.5)/2/(Y219+AA$7)))</f>
        <v/>
      </c>
      <c r="AA219" s="98"/>
      <c r="AB219" s="101"/>
    </row>
    <row r="220" spans="2:28">
      <c r="B220" s="113"/>
      <c r="C220" s="113"/>
      <c r="D220" s="113"/>
      <c r="E220" s="113"/>
      <c r="F220" s="113"/>
      <c r="G220" s="113"/>
      <c r="J220" s="116"/>
      <c r="K220" s="119"/>
      <c r="L220" s="98"/>
      <c r="M220" s="101"/>
      <c r="O220" s="100"/>
      <c r="P220" s="119" t="str">
        <f>IF('Temperature in bundle'!$P$4="Current = 1A per pair",2,IF($A220="","",('Temperature in bundle'!$Q$6-('Temperature in bundle'!$Q$6^2-4*(O220+Q$7)*'Temperature in bundle'!$Q$7)^0.5)/2/(O220+Q$7)))</f>
        <v/>
      </c>
      <c r="Q220" s="98"/>
      <c r="R220" s="101"/>
      <c r="T220" s="100"/>
      <c r="U220" s="119" t="str">
        <f>IF('Temperature in bundle'!$P$4="Current = 1A per pair",2,IF($A220="","",('Temperature in bundle'!$Q$6-('Temperature in bundle'!$Q$6^2-4*(T220+V$7)*'Temperature in bundle'!$Q$7)^0.5)/2/(T220+V$7)))</f>
        <v/>
      </c>
      <c r="V220" s="98"/>
      <c r="W220" s="101"/>
      <c r="Y220" s="100"/>
      <c r="Z220" s="119" t="str">
        <f>IF('Temperature in bundle'!$P$4="Current = 1A per pair",2,IF($A220="","",('Temperature in bundle'!$Q$6-('Temperature in bundle'!$Q$6^2-4*(Y220+AA$7)*'Temperature in bundle'!$Q$7)^0.5)/2/(Y220+AA$7)))</f>
        <v/>
      </c>
      <c r="AA220" s="98"/>
      <c r="AB220" s="101"/>
    </row>
    <row r="221" spans="2:28">
      <c r="B221" s="113"/>
      <c r="C221" s="113"/>
      <c r="D221" s="113"/>
      <c r="E221" s="113"/>
      <c r="F221" s="113"/>
      <c r="G221" s="113"/>
      <c r="J221" s="116"/>
      <c r="K221" s="119"/>
      <c r="L221" s="98"/>
      <c r="M221" s="101"/>
      <c r="O221" s="100"/>
      <c r="P221" s="119" t="str">
        <f>IF('Temperature in bundle'!$P$4="Current = 1A per pair",2,IF($A221="","",('Temperature in bundle'!$Q$6-('Temperature in bundle'!$Q$6^2-4*(O221+Q$7)*'Temperature in bundle'!$Q$7)^0.5)/2/(O221+Q$7)))</f>
        <v/>
      </c>
      <c r="Q221" s="98"/>
      <c r="R221" s="101"/>
      <c r="T221" s="100"/>
      <c r="U221" s="119" t="str">
        <f>IF('Temperature in bundle'!$P$4="Current = 1A per pair",2,IF($A221="","",('Temperature in bundle'!$Q$6-('Temperature in bundle'!$Q$6^2-4*(T221+V$7)*'Temperature in bundle'!$Q$7)^0.5)/2/(T221+V$7)))</f>
        <v/>
      </c>
      <c r="V221" s="98"/>
      <c r="W221" s="101"/>
      <c r="Y221" s="100"/>
      <c r="Z221" s="119" t="str">
        <f>IF('Temperature in bundle'!$P$4="Current = 1A per pair",2,IF($A221="","",('Temperature in bundle'!$Q$6-('Temperature in bundle'!$Q$6^2-4*(Y221+AA$7)*'Temperature in bundle'!$Q$7)^0.5)/2/(Y221+AA$7)))</f>
        <v/>
      </c>
      <c r="AA221" s="98"/>
      <c r="AB221" s="101"/>
    </row>
    <row r="222" spans="2:28">
      <c r="B222" s="113"/>
      <c r="C222" s="113"/>
      <c r="D222" s="113"/>
      <c r="E222" s="113"/>
      <c r="F222" s="113"/>
      <c r="G222" s="113"/>
      <c r="J222" s="116"/>
      <c r="K222" s="119"/>
      <c r="L222" s="98"/>
      <c r="M222" s="101"/>
      <c r="O222" s="100"/>
      <c r="P222" s="119" t="str">
        <f>IF('Temperature in bundle'!$P$4="Current = 1A per pair",2,IF($A222="","",('Temperature in bundle'!$Q$6-('Temperature in bundle'!$Q$6^2-4*(O222+Q$7)*'Temperature in bundle'!$Q$7)^0.5)/2/(O222+Q$7)))</f>
        <v/>
      </c>
      <c r="Q222" s="98"/>
      <c r="R222" s="101"/>
      <c r="T222" s="100"/>
      <c r="U222" s="119" t="str">
        <f>IF('Temperature in bundle'!$P$4="Current = 1A per pair",2,IF($A222="","",('Temperature in bundle'!$Q$6-('Temperature in bundle'!$Q$6^2-4*(T222+V$7)*'Temperature in bundle'!$Q$7)^0.5)/2/(T222+V$7)))</f>
        <v/>
      </c>
      <c r="V222" s="98"/>
      <c r="W222" s="101"/>
      <c r="Y222" s="100"/>
      <c r="Z222" s="119" t="str">
        <f>IF('Temperature in bundle'!$P$4="Current = 1A per pair",2,IF($A222="","",('Temperature in bundle'!$Q$6-('Temperature in bundle'!$Q$6^2-4*(Y222+AA$7)*'Temperature in bundle'!$Q$7)^0.5)/2/(Y222+AA$7)))</f>
        <v/>
      </c>
      <c r="AA222" s="98"/>
      <c r="AB222" s="101"/>
    </row>
    <row r="223" spans="2:28">
      <c r="B223" s="113"/>
      <c r="C223" s="113"/>
      <c r="D223" s="113"/>
      <c r="E223" s="113"/>
      <c r="F223" s="113"/>
      <c r="G223" s="113"/>
      <c r="J223" s="116"/>
      <c r="K223" s="119"/>
      <c r="L223" s="98"/>
      <c r="M223" s="101"/>
      <c r="O223" s="100"/>
      <c r="P223" s="119" t="str">
        <f>IF('Temperature in bundle'!$P$4="Current = 1A per pair",2,IF($A223="","",('Temperature in bundle'!$Q$6-('Temperature in bundle'!$Q$6^2-4*(O223+Q$7)*'Temperature in bundle'!$Q$7)^0.5)/2/(O223+Q$7)))</f>
        <v/>
      </c>
      <c r="Q223" s="98"/>
      <c r="R223" s="101"/>
      <c r="T223" s="100"/>
      <c r="U223" s="119" t="str">
        <f>IF('Temperature in bundle'!$P$4="Current = 1A per pair",2,IF($A223="","",('Temperature in bundle'!$Q$6-('Temperature in bundle'!$Q$6^2-4*(T223+V$7)*'Temperature in bundle'!$Q$7)^0.5)/2/(T223+V$7)))</f>
        <v/>
      </c>
      <c r="V223" s="98"/>
      <c r="W223" s="101"/>
      <c r="Y223" s="100"/>
      <c r="Z223" s="119" t="str">
        <f>IF('Temperature in bundle'!$P$4="Current = 1A per pair",2,IF($A223="","",('Temperature in bundle'!$Q$6-('Temperature in bundle'!$Q$6^2-4*(Y223+AA$7)*'Temperature in bundle'!$Q$7)^0.5)/2/(Y223+AA$7)))</f>
        <v/>
      </c>
      <c r="AA223" s="98"/>
      <c r="AB223" s="101"/>
    </row>
    <row r="224" spans="2:28">
      <c r="B224" s="113"/>
      <c r="C224" s="113"/>
      <c r="D224" s="113"/>
      <c r="E224" s="113"/>
      <c r="F224" s="113"/>
      <c r="G224" s="113"/>
      <c r="J224" s="116"/>
      <c r="K224" s="119"/>
      <c r="L224" s="98"/>
      <c r="M224" s="101"/>
      <c r="O224" s="100"/>
      <c r="P224" s="119" t="str">
        <f>IF('Temperature in bundle'!$P$4="Current = 1A per pair",2,IF($A224="","",('Temperature in bundle'!$Q$6-('Temperature in bundle'!$Q$6^2-4*(O224+Q$7)*'Temperature in bundle'!$Q$7)^0.5)/2/(O224+Q$7)))</f>
        <v/>
      </c>
      <c r="Q224" s="98"/>
      <c r="R224" s="101"/>
      <c r="T224" s="100"/>
      <c r="U224" s="119" t="str">
        <f>IF('Temperature in bundle'!$P$4="Current = 1A per pair",2,IF($A224="","",('Temperature in bundle'!$Q$6-('Temperature in bundle'!$Q$6^2-4*(T224+V$7)*'Temperature in bundle'!$Q$7)^0.5)/2/(T224+V$7)))</f>
        <v/>
      </c>
      <c r="V224" s="98"/>
      <c r="W224" s="101"/>
      <c r="Y224" s="100"/>
      <c r="Z224" s="119" t="str">
        <f>IF('Temperature in bundle'!$P$4="Current = 1A per pair",2,IF($A224="","",('Temperature in bundle'!$Q$6-('Temperature in bundle'!$Q$6^2-4*(Y224+AA$7)*'Temperature in bundle'!$Q$7)^0.5)/2/(Y224+AA$7)))</f>
        <v/>
      </c>
      <c r="AA224" s="98"/>
      <c r="AB224" s="101"/>
    </row>
    <row r="225" spans="2:28">
      <c r="B225" s="113"/>
      <c r="C225" s="113"/>
      <c r="D225" s="113"/>
      <c r="E225" s="113"/>
      <c r="F225" s="113"/>
      <c r="G225" s="113"/>
      <c r="J225" s="116"/>
      <c r="K225" s="119"/>
      <c r="L225" s="98"/>
      <c r="M225" s="101"/>
      <c r="O225" s="100"/>
      <c r="P225" s="119" t="str">
        <f>IF('Temperature in bundle'!$P$4="Current = 1A per pair",2,IF($A225="","",('Temperature in bundle'!$Q$6-('Temperature in bundle'!$Q$6^2-4*(O225+Q$7)*'Temperature in bundle'!$Q$7)^0.5)/2/(O225+Q$7)))</f>
        <v/>
      </c>
      <c r="Q225" s="98"/>
      <c r="R225" s="101"/>
      <c r="T225" s="100"/>
      <c r="U225" s="119" t="str">
        <f>IF('Temperature in bundle'!$P$4="Current = 1A per pair",2,IF($A225="","",('Temperature in bundle'!$Q$6-('Temperature in bundle'!$Q$6^2-4*(T225+V$7)*'Temperature in bundle'!$Q$7)^0.5)/2/(T225+V$7)))</f>
        <v/>
      </c>
      <c r="V225" s="98"/>
      <c r="W225" s="101"/>
      <c r="Y225" s="100"/>
      <c r="Z225" s="119" t="str">
        <f>IF('Temperature in bundle'!$P$4="Current = 1A per pair",2,IF($A225="","",('Temperature in bundle'!$Q$6-('Temperature in bundle'!$Q$6^2-4*(Y225+AA$7)*'Temperature in bundle'!$Q$7)^0.5)/2/(Y225+AA$7)))</f>
        <v/>
      </c>
      <c r="AA225" s="98"/>
      <c r="AB225" s="101"/>
    </row>
    <row r="226" spans="2:28">
      <c r="B226" s="113"/>
      <c r="C226" s="113"/>
      <c r="D226" s="113"/>
      <c r="E226" s="113"/>
      <c r="F226" s="113"/>
      <c r="G226" s="113"/>
      <c r="J226" s="116"/>
      <c r="K226" s="119"/>
      <c r="L226" s="98"/>
      <c r="M226" s="101"/>
      <c r="O226" s="100"/>
      <c r="P226" s="119" t="str">
        <f>IF('Temperature in bundle'!$P$4="Current = 1A per pair",2,IF($A226="","",('Temperature in bundle'!$Q$6-('Temperature in bundle'!$Q$6^2-4*(O226+Q$7)*'Temperature in bundle'!$Q$7)^0.5)/2/(O226+Q$7)))</f>
        <v/>
      </c>
      <c r="Q226" s="98"/>
      <c r="R226" s="101"/>
      <c r="T226" s="100"/>
      <c r="U226" s="119" t="str">
        <f>IF('Temperature in bundle'!$P$4="Current = 1A per pair",2,IF($A226="","",('Temperature in bundle'!$Q$6-('Temperature in bundle'!$Q$6^2-4*(T226+V$7)*'Temperature in bundle'!$Q$7)^0.5)/2/(T226+V$7)))</f>
        <v/>
      </c>
      <c r="V226" s="98"/>
      <c r="W226" s="101"/>
      <c r="Y226" s="100"/>
      <c r="Z226" s="119" t="str">
        <f>IF('Temperature in bundle'!$P$4="Current = 1A per pair",2,IF($A226="","",('Temperature in bundle'!$Q$6-('Temperature in bundle'!$Q$6^2-4*(Y226+AA$7)*'Temperature in bundle'!$Q$7)^0.5)/2/(Y226+AA$7)))</f>
        <v/>
      </c>
      <c r="AA226" s="98"/>
      <c r="AB226" s="101"/>
    </row>
    <row r="227" spans="2:28">
      <c r="B227" s="113"/>
      <c r="C227" s="113"/>
      <c r="D227" s="113"/>
      <c r="E227" s="113"/>
      <c r="F227" s="113"/>
      <c r="G227" s="113"/>
      <c r="J227" s="116"/>
      <c r="K227" s="119"/>
      <c r="L227" s="98"/>
      <c r="M227" s="101"/>
      <c r="O227" s="100"/>
      <c r="P227" s="119" t="str">
        <f>IF('Temperature in bundle'!$P$4="Current = 1A per pair",2,IF($A227="","",('Temperature in bundle'!$Q$6-('Temperature in bundle'!$Q$6^2-4*(O227+Q$7)*'Temperature in bundle'!$Q$7)^0.5)/2/(O227+Q$7)))</f>
        <v/>
      </c>
      <c r="Q227" s="98"/>
      <c r="R227" s="101"/>
      <c r="T227" s="100"/>
      <c r="U227" s="119" t="str">
        <f>IF('Temperature in bundle'!$P$4="Current = 1A per pair",2,IF($A227="","",('Temperature in bundle'!$Q$6-('Temperature in bundle'!$Q$6^2-4*(T227+V$7)*'Temperature in bundle'!$Q$7)^0.5)/2/(T227+V$7)))</f>
        <v/>
      </c>
      <c r="V227" s="98"/>
      <c r="W227" s="101"/>
      <c r="Y227" s="100"/>
      <c r="Z227" s="119" t="str">
        <f>IF('Temperature in bundle'!$P$4="Current = 1A per pair",2,IF($A227="","",('Temperature in bundle'!$Q$6-('Temperature in bundle'!$Q$6^2-4*(Y227+AA$7)*'Temperature in bundle'!$Q$7)^0.5)/2/(Y227+AA$7)))</f>
        <v/>
      </c>
      <c r="AA227" s="98"/>
      <c r="AB227" s="101"/>
    </row>
    <row r="228" spans="2:28">
      <c r="B228" s="113"/>
      <c r="C228" s="113"/>
      <c r="D228" s="113"/>
      <c r="E228" s="113"/>
      <c r="F228" s="113"/>
      <c r="G228" s="113"/>
      <c r="J228" s="116"/>
      <c r="K228" s="119"/>
      <c r="L228" s="98"/>
      <c r="M228" s="101"/>
      <c r="O228" s="100"/>
      <c r="P228" s="119" t="str">
        <f>IF('Temperature in bundle'!$P$4="Current = 1A per pair",2,IF($A228="","",('Temperature in bundle'!$Q$6-('Temperature in bundle'!$Q$6^2-4*(O228+Q$7)*'Temperature in bundle'!$Q$7)^0.5)/2/(O228+Q$7)))</f>
        <v/>
      </c>
      <c r="Q228" s="98"/>
      <c r="R228" s="101"/>
      <c r="T228" s="100"/>
      <c r="U228" s="119" t="str">
        <f>IF('Temperature in bundle'!$P$4="Current = 1A per pair",2,IF($A228="","",('Temperature in bundle'!$Q$6-('Temperature in bundle'!$Q$6^2-4*(T228+V$7)*'Temperature in bundle'!$Q$7)^0.5)/2/(T228+V$7)))</f>
        <v/>
      </c>
      <c r="V228" s="98"/>
      <c r="W228" s="101"/>
      <c r="Y228" s="100"/>
      <c r="Z228" s="119" t="str">
        <f>IF('Temperature in bundle'!$P$4="Current = 1A per pair",2,IF($A228="","",('Temperature in bundle'!$Q$6-('Temperature in bundle'!$Q$6^2-4*(Y228+AA$7)*'Temperature in bundle'!$Q$7)^0.5)/2/(Y228+AA$7)))</f>
        <v/>
      </c>
      <c r="AA228" s="98"/>
      <c r="AB228" s="101"/>
    </row>
    <row r="229" spans="2:28">
      <c r="B229" s="113"/>
      <c r="C229" s="113"/>
      <c r="D229" s="113"/>
      <c r="E229" s="113"/>
      <c r="F229" s="113"/>
      <c r="G229" s="113"/>
      <c r="J229" s="116"/>
      <c r="K229" s="119"/>
      <c r="L229" s="98"/>
      <c r="M229" s="101"/>
      <c r="O229" s="100"/>
      <c r="P229" s="119" t="str">
        <f>IF('Temperature in bundle'!$P$4="Current = 1A per pair",2,IF($A229="","",('Temperature in bundle'!$Q$6-('Temperature in bundle'!$Q$6^2-4*(O229+Q$7)*'Temperature in bundle'!$Q$7)^0.5)/2/(O229+Q$7)))</f>
        <v/>
      </c>
      <c r="Q229" s="98"/>
      <c r="R229" s="101"/>
      <c r="T229" s="100"/>
      <c r="U229" s="119" t="str">
        <f>IF('Temperature in bundle'!$P$4="Current = 1A per pair",2,IF($A229="","",('Temperature in bundle'!$Q$6-('Temperature in bundle'!$Q$6^2-4*(T229+V$7)*'Temperature in bundle'!$Q$7)^0.5)/2/(T229+V$7)))</f>
        <v/>
      </c>
      <c r="V229" s="98"/>
      <c r="W229" s="101"/>
      <c r="Y229" s="100"/>
      <c r="Z229" s="119" t="str">
        <f>IF('Temperature in bundle'!$P$4="Current = 1A per pair",2,IF($A229="","",('Temperature in bundle'!$Q$6-('Temperature in bundle'!$Q$6^2-4*(Y229+AA$7)*'Temperature in bundle'!$Q$7)^0.5)/2/(Y229+AA$7)))</f>
        <v/>
      </c>
      <c r="AA229" s="98"/>
      <c r="AB229" s="101"/>
    </row>
    <row r="230" spans="2:28">
      <c r="B230" s="113"/>
      <c r="C230" s="113"/>
      <c r="D230" s="113"/>
      <c r="E230" s="113"/>
      <c r="F230" s="113"/>
      <c r="G230" s="113"/>
      <c r="J230" s="116"/>
      <c r="K230" s="119"/>
      <c r="L230" s="98"/>
      <c r="M230" s="101"/>
      <c r="O230" s="100"/>
      <c r="P230" s="119" t="str">
        <f>IF('Temperature in bundle'!$P$4="Current = 1A per pair",2,IF($A230="","",('Temperature in bundle'!$Q$6-('Temperature in bundle'!$Q$6^2-4*(O230+Q$7)*'Temperature in bundle'!$Q$7)^0.5)/2/(O230+Q$7)))</f>
        <v/>
      </c>
      <c r="Q230" s="98"/>
      <c r="R230" s="101"/>
      <c r="T230" s="100"/>
      <c r="U230" s="119" t="str">
        <f>IF('Temperature in bundle'!$P$4="Current = 1A per pair",2,IF($A230="","",('Temperature in bundle'!$Q$6-('Temperature in bundle'!$Q$6^2-4*(T230+V$7)*'Temperature in bundle'!$Q$7)^0.5)/2/(T230+V$7)))</f>
        <v/>
      </c>
      <c r="V230" s="98"/>
      <c r="W230" s="101"/>
      <c r="Y230" s="100"/>
      <c r="Z230" s="119" t="str">
        <f>IF('Temperature in bundle'!$P$4="Current = 1A per pair",2,IF($A230="","",('Temperature in bundle'!$Q$6-('Temperature in bundle'!$Q$6^2-4*(Y230+AA$7)*'Temperature in bundle'!$Q$7)^0.5)/2/(Y230+AA$7)))</f>
        <v/>
      </c>
      <c r="AA230" s="98"/>
      <c r="AB230" s="101"/>
    </row>
    <row r="231" spans="2:28">
      <c r="B231" s="113"/>
      <c r="C231" s="113"/>
      <c r="D231" s="113"/>
      <c r="E231" s="113"/>
      <c r="F231" s="113"/>
      <c r="G231" s="113"/>
      <c r="J231" s="116"/>
      <c r="K231" s="119"/>
      <c r="L231" s="98"/>
      <c r="M231" s="101"/>
      <c r="O231" s="100"/>
      <c r="P231" s="119" t="str">
        <f>IF('Temperature in bundle'!$P$4="Current = 1A per pair",2,IF($A231="","",('Temperature in bundle'!$Q$6-('Temperature in bundle'!$Q$6^2-4*(O231+Q$7)*'Temperature in bundle'!$Q$7)^0.5)/2/(O231+Q$7)))</f>
        <v/>
      </c>
      <c r="Q231" s="98"/>
      <c r="R231" s="101"/>
      <c r="T231" s="100"/>
      <c r="U231" s="119" t="str">
        <f>IF('Temperature in bundle'!$P$4="Current = 1A per pair",2,IF($A231="","",('Temperature in bundle'!$Q$6-('Temperature in bundle'!$Q$6^2-4*(T231+V$7)*'Temperature in bundle'!$Q$7)^0.5)/2/(T231+V$7)))</f>
        <v/>
      </c>
      <c r="V231" s="98"/>
      <c r="W231" s="101"/>
      <c r="Y231" s="100"/>
      <c r="Z231" s="119" t="str">
        <f>IF('Temperature in bundle'!$P$4="Current = 1A per pair",2,IF($A231="","",('Temperature in bundle'!$Q$6-('Temperature in bundle'!$Q$6^2-4*(Y231+AA$7)*'Temperature in bundle'!$Q$7)^0.5)/2/(Y231+AA$7)))</f>
        <v/>
      </c>
      <c r="AA231" s="98"/>
      <c r="AB231" s="101"/>
    </row>
    <row r="232" spans="2:28">
      <c r="B232" s="113"/>
      <c r="C232" s="113"/>
      <c r="D232" s="113"/>
      <c r="E232" s="113"/>
      <c r="F232" s="113"/>
      <c r="G232" s="113"/>
      <c r="J232" s="116"/>
      <c r="K232" s="119"/>
      <c r="L232" s="98"/>
      <c r="M232" s="101"/>
      <c r="O232" s="100"/>
      <c r="P232" s="119" t="str">
        <f>IF('Temperature in bundle'!$P$4="Current = 1A per pair",2,IF($A232="","",('Temperature in bundle'!$Q$6-('Temperature in bundle'!$Q$6^2-4*(O232+Q$7)*'Temperature in bundle'!$Q$7)^0.5)/2/(O232+Q$7)))</f>
        <v/>
      </c>
      <c r="Q232" s="98"/>
      <c r="R232" s="101"/>
      <c r="T232" s="100"/>
      <c r="U232" s="119" t="str">
        <f>IF('Temperature in bundle'!$P$4="Current = 1A per pair",2,IF($A232="","",('Temperature in bundle'!$Q$6-('Temperature in bundle'!$Q$6^2-4*(T232+V$7)*'Temperature in bundle'!$Q$7)^0.5)/2/(T232+V$7)))</f>
        <v/>
      </c>
      <c r="V232" s="98"/>
      <c r="W232" s="101"/>
      <c r="Y232" s="100"/>
      <c r="Z232" s="119" t="str">
        <f>IF('Temperature in bundle'!$P$4="Current = 1A per pair",2,IF($A232="","",('Temperature in bundle'!$Q$6-('Temperature in bundle'!$Q$6^2-4*(Y232+AA$7)*'Temperature in bundle'!$Q$7)^0.5)/2/(Y232+AA$7)))</f>
        <v/>
      </c>
      <c r="AA232" s="98"/>
      <c r="AB232" s="101"/>
    </row>
    <row r="233" spans="2:28">
      <c r="B233" s="113"/>
      <c r="C233" s="113"/>
      <c r="D233" s="113"/>
      <c r="E233" s="113"/>
      <c r="F233" s="113"/>
      <c r="G233" s="113"/>
      <c r="J233" s="116"/>
      <c r="K233" s="119"/>
      <c r="L233" s="98"/>
      <c r="M233" s="101"/>
      <c r="O233" s="100"/>
      <c r="P233" s="119" t="str">
        <f>IF('Temperature in bundle'!$P$4="Current = 1A per pair",2,IF($A233="","",('Temperature in bundle'!$Q$6-('Temperature in bundle'!$Q$6^2-4*(O233+Q$7)*'Temperature in bundle'!$Q$7)^0.5)/2/(O233+Q$7)))</f>
        <v/>
      </c>
      <c r="Q233" s="98"/>
      <c r="R233" s="101"/>
      <c r="T233" s="100"/>
      <c r="U233" s="119" t="str">
        <f>IF('Temperature in bundle'!$P$4="Current = 1A per pair",2,IF($A233="","",('Temperature in bundle'!$Q$6-('Temperature in bundle'!$Q$6^2-4*(T233+V$7)*'Temperature in bundle'!$Q$7)^0.5)/2/(T233+V$7)))</f>
        <v/>
      </c>
      <c r="V233" s="98"/>
      <c r="W233" s="101"/>
      <c r="Y233" s="100"/>
      <c r="Z233" s="119" t="str">
        <f>IF('Temperature in bundle'!$P$4="Current = 1A per pair",2,IF($A233="","",('Temperature in bundle'!$Q$6-('Temperature in bundle'!$Q$6^2-4*(Y233+AA$7)*'Temperature in bundle'!$Q$7)^0.5)/2/(Y233+AA$7)))</f>
        <v/>
      </c>
      <c r="AA233" s="98"/>
      <c r="AB233" s="101"/>
    </row>
    <row r="234" spans="2:28">
      <c r="B234" s="113"/>
      <c r="C234" s="113"/>
      <c r="D234" s="113"/>
      <c r="E234" s="113"/>
      <c r="F234" s="113"/>
      <c r="G234" s="113"/>
      <c r="J234" s="116"/>
      <c r="K234" s="119"/>
      <c r="L234" s="98"/>
      <c r="M234" s="101"/>
      <c r="O234" s="100"/>
      <c r="P234" s="119" t="str">
        <f>IF('Temperature in bundle'!$P$4="Current = 1A per pair",2,IF($A234="","",('Temperature in bundle'!$Q$6-('Temperature in bundle'!$Q$6^2-4*(O234+Q$7)*'Temperature in bundle'!$Q$7)^0.5)/2/(O234+Q$7)))</f>
        <v/>
      </c>
      <c r="Q234" s="98"/>
      <c r="R234" s="101"/>
      <c r="T234" s="100"/>
      <c r="U234" s="119" t="str">
        <f>IF('Temperature in bundle'!$P$4="Current = 1A per pair",2,IF($A234="","",('Temperature in bundle'!$Q$6-('Temperature in bundle'!$Q$6^2-4*(T234+V$7)*'Temperature in bundle'!$Q$7)^0.5)/2/(T234+V$7)))</f>
        <v/>
      </c>
      <c r="V234" s="98"/>
      <c r="W234" s="101"/>
      <c r="Y234" s="100"/>
      <c r="Z234" s="119" t="str">
        <f>IF('Temperature in bundle'!$P$4="Current = 1A per pair",2,IF($A234="","",('Temperature in bundle'!$Q$6-('Temperature in bundle'!$Q$6^2-4*(Y234+AA$7)*'Temperature in bundle'!$Q$7)^0.5)/2/(Y234+AA$7)))</f>
        <v/>
      </c>
      <c r="AA234" s="98"/>
      <c r="AB234" s="101"/>
    </row>
    <row r="235" spans="2:28">
      <c r="B235" s="113"/>
      <c r="C235" s="113"/>
      <c r="D235" s="113"/>
      <c r="E235" s="113"/>
      <c r="F235" s="113"/>
      <c r="G235" s="113"/>
      <c r="J235" s="116"/>
      <c r="K235" s="119"/>
      <c r="L235" s="98"/>
      <c r="M235" s="101"/>
      <c r="O235" s="100"/>
      <c r="P235" s="119" t="str">
        <f>IF('Temperature in bundle'!$P$4="Current = 1A per pair",2,IF($A235="","",('Temperature in bundle'!$Q$6-('Temperature in bundle'!$Q$6^2-4*(O235+Q$7)*'Temperature in bundle'!$Q$7)^0.5)/2/(O235+Q$7)))</f>
        <v/>
      </c>
      <c r="Q235" s="98"/>
      <c r="R235" s="101"/>
      <c r="T235" s="100"/>
      <c r="U235" s="119" t="str">
        <f>IF('Temperature in bundle'!$P$4="Current = 1A per pair",2,IF($A235="","",('Temperature in bundle'!$Q$6-('Temperature in bundle'!$Q$6^2-4*(T235+V$7)*'Temperature in bundle'!$Q$7)^0.5)/2/(T235+V$7)))</f>
        <v/>
      </c>
      <c r="V235" s="98"/>
      <c r="W235" s="101"/>
      <c r="Y235" s="100"/>
      <c r="Z235" s="119" t="str">
        <f>IF('Temperature in bundle'!$P$4="Current = 1A per pair",2,IF($A235="","",('Temperature in bundle'!$Q$6-('Temperature in bundle'!$Q$6^2-4*(Y235+AA$7)*'Temperature in bundle'!$Q$7)^0.5)/2/(Y235+AA$7)))</f>
        <v/>
      </c>
      <c r="AA235" s="98"/>
      <c r="AB235" s="101"/>
    </row>
    <row r="236" spans="2:28">
      <c r="B236" s="113"/>
      <c r="C236" s="113"/>
      <c r="D236" s="113"/>
      <c r="E236" s="113"/>
      <c r="F236" s="113"/>
      <c r="G236" s="113"/>
      <c r="J236" s="116"/>
      <c r="K236" s="119"/>
      <c r="L236" s="98"/>
      <c r="M236" s="101"/>
      <c r="O236" s="100"/>
      <c r="P236" s="119" t="str">
        <f>IF('Temperature in bundle'!$P$4="Current = 1A per pair",2,IF($A236="","",('Temperature in bundle'!$Q$6-('Temperature in bundle'!$Q$6^2-4*(O236+Q$7)*'Temperature in bundle'!$Q$7)^0.5)/2/(O236+Q$7)))</f>
        <v/>
      </c>
      <c r="Q236" s="98"/>
      <c r="R236" s="101"/>
      <c r="T236" s="100"/>
      <c r="U236" s="119" t="str">
        <f>IF('Temperature in bundle'!$P$4="Current = 1A per pair",2,IF($A236="","",('Temperature in bundle'!$Q$6-('Temperature in bundle'!$Q$6^2-4*(T236+V$7)*'Temperature in bundle'!$Q$7)^0.5)/2/(T236+V$7)))</f>
        <v/>
      </c>
      <c r="V236" s="98"/>
      <c r="W236" s="101"/>
      <c r="Y236" s="100"/>
      <c r="Z236" s="119" t="str">
        <f>IF('Temperature in bundle'!$P$4="Current = 1A per pair",2,IF($A236="","",('Temperature in bundle'!$Q$6-('Temperature in bundle'!$Q$6^2-4*(Y236+AA$7)*'Temperature in bundle'!$Q$7)^0.5)/2/(Y236+AA$7)))</f>
        <v/>
      </c>
      <c r="AA236" s="98"/>
      <c r="AB236" s="101"/>
    </row>
    <row r="237" spans="2:28">
      <c r="B237" s="113"/>
      <c r="C237" s="113"/>
      <c r="D237" s="113"/>
      <c r="E237" s="113"/>
      <c r="F237" s="113"/>
      <c r="G237" s="113"/>
      <c r="J237" s="116"/>
      <c r="K237" s="119"/>
      <c r="L237" s="98"/>
      <c r="M237" s="101"/>
      <c r="O237" s="100"/>
      <c r="P237" s="119" t="str">
        <f>IF('Temperature in bundle'!$P$4="Current = 1A per pair",2,IF($A237="","",('Temperature in bundle'!$Q$6-('Temperature in bundle'!$Q$6^2-4*(O237+Q$7)*'Temperature in bundle'!$Q$7)^0.5)/2/(O237+Q$7)))</f>
        <v/>
      </c>
      <c r="Q237" s="98"/>
      <c r="R237" s="101"/>
      <c r="T237" s="100"/>
      <c r="U237" s="119" t="str">
        <f>IF('Temperature in bundle'!$P$4="Current = 1A per pair",2,IF($A237="","",('Temperature in bundle'!$Q$6-('Temperature in bundle'!$Q$6^2-4*(T237+V$7)*'Temperature in bundle'!$Q$7)^0.5)/2/(T237+V$7)))</f>
        <v/>
      </c>
      <c r="V237" s="98"/>
      <c r="W237" s="101"/>
      <c r="Y237" s="100"/>
      <c r="Z237" s="119" t="str">
        <f>IF('Temperature in bundle'!$P$4="Current = 1A per pair",2,IF($A237="","",('Temperature in bundle'!$Q$6-('Temperature in bundle'!$Q$6^2-4*(Y237+AA$7)*'Temperature in bundle'!$Q$7)^0.5)/2/(Y237+AA$7)))</f>
        <v/>
      </c>
      <c r="AA237" s="98"/>
      <c r="AB237" s="101"/>
    </row>
    <row r="238" spans="2:28">
      <c r="B238" s="113"/>
      <c r="C238" s="113"/>
      <c r="D238" s="113"/>
      <c r="E238" s="113"/>
      <c r="F238" s="113"/>
      <c r="G238" s="113"/>
      <c r="J238" s="116"/>
      <c r="K238" s="119"/>
      <c r="L238" s="98"/>
      <c r="M238" s="101"/>
      <c r="O238" s="100"/>
      <c r="P238" s="119" t="str">
        <f>IF('Temperature in bundle'!$P$4="Current = 1A per pair",2,IF($A238="","",('Temperature in bundle'!$Q$6-('Temperature in bundle'!$Q$6^2-4*(O238+Q$7)*'Temperature in bundle'!$Q$7)^0.5)/2/(O238+Q$7)))</f>
        <v/>
      </c>
      <c r="Q238" s="98"/>
      <c r="R238" s="101"/>
      <c r="T238" s="100"/>
      <c r="U238" s="119" t="str">
        <f>IF('Temperature in bundle'!$P$4="Current = 1A per pair",2,IF($A238="","",('Temperature in bundle'!$Q$6-('Temperature in bundle'!$Q$6^2-4*(T238+V$7)*'Temperature in bundle'!$Q$7)^0.5)/2/(T238+V$7)))</f>
        <v/>
      </c>
      <c r="V238" s="98"/>
      <c r="W238" s="101"/>
      <c r="Y238" s="100"/>
      <c r="Z238" s="119" t="str">
        <f>IF('Temperature in bundle'!$P$4="Current = 1A per pair",2,IF($A238="","",('Temperature in bundle'!$Q$6-('Temperature in bundle'!$Q$6^2-4*(Y238+AA$7)*'Temperature in bundle'!$Q$7)^0.5)/2/(Y238+AA$7)))</f>
        <v/>
      </c>
      <c r="AA238" s="98"/>
      <c r="AB238" s="101"/>
    </row>
    <row r="239" spans="2:28">
      <c r="B239" s="113"/>
      <c r="C239" s="113"/>
      <c r="D239" s="113"/>
      <c r="E239" s="113"/>
      <c r="F239" s="113"/>
      <c r="G239" s="113"/>
      <c r="J239" s="116"/>
      <c r="K239" s="119"/>
      <c r="L239" s="98"/>
      <c r="M239" s="101"/>
      <c r="O239" s="100"/>
      <c r="P239" s="119" t="str">
        <f>IF('Temperature in bundle'!$P$4="Current = 1A per pair",2,IF($A239="","",('Temperature in bundle'!$Q$6-('Temperature in bundle'!$Q$6^2-4*(O239+Q$7)*'Temperature in bundle'!$Q$7)^0.5)/2/(O239+Q$7)))</f>
        <v/>
      </c>
      <c r="Q239" s="98"/>
      <c r="R239" s="101"/>
      <c r="T239" s="100"/>
      <c r="U239" s="119" t="str">
        <f>IF('Temperature in bundle'!$P$4="Current = 1A per pair",2,IF($A239="","",('Temperature in bundle'!$Q$6-('Temperature in bundle'!$Q$6^2-4*(T239+V$7)*'Temperature in bundle'!$Q$7)^0.5)/2/(T239+V$7)))</f>
        <v/>
      </c>
      <c r="V239" s="98"/>
      <c r="W239" s="101"/>
      <c r="Y239" s="100"/>
      <c r="Z239" s="119" t="str">
        <f>IF('Temperature in bundle'!$P$4="Current = 1A per pair",2,IF($A239="","",('Temperature in bundle'!$Q$6-('Temperature in bundle'!$Q$6^2-4*(Y239+AA$7)*'Temperature in bundle'!$Q$7)^0.5)/2/(Y239+AA$7)))</f>
        <v/>
      </c>
      <c r="AA239" s="98"/>
      <c r="AB239" s="101"/>
    </row>
    <row r="240" spans="2:28">
      <c r="B240" s="113"/>
      <c r="C240" s="113"/>
      <c r="D240" s="113"/>
      <c r="E240" s="113"/>
      <c r="F240" s="113"/>
      <c r="G240" s="113"/>
      <c r="J240" s="116"/>
      <c r="K240" s="119"/>
      <c r="L240" s="98"/>
      <c r="M240" s="101"/>
      <c r="O240" s="100"/>
      <c r="P240" s="119" t="str">
        <f>IF('Temperature in bundle'!$P$4="Current = 1A per pair",2,IF($A240="","",('Temperature in bundle'!$Q$6-('Temperature in bundle'!$Q$6^2-4*(O240+Q$7)*'Temperature in bundle'!$Q$7)^0.5)/2/(O240+Q$7)))</f>
        <v/>
      </c>
      <c r="Q240" s="98"/>
      <c r="R240" s="101"/>
      <c r="T240" s="100"/>
      <c r="U240" s="119" t="str">
        <f>IF('Temperature in bundle'!$P$4="Current = 1A per pair",2,IF($A240="","",('Temperature in bundle'!$Q$6-('Temperature in bundle'!$Q$6^2-4*(T240+V$7)*'Temperature in bundle'!$Q$7)^0.5)/2/(T240+V$7)))</f>
        <v/>
      </c>
      <c r="V240" s="98"/>
      <c r="W240" s="101"/>
      <c r="Y240" s="100"/>
      <c r="Z240" s="119" t="str">
        <f>IF('Temperature in bundle'!$P$4="Current = 1A per pair",2,IF($A240="","",('Temperature in bundle'!$Q$6-('Temperature in bundle'!$Q$6^2-4*(Y240+AA$7)*'Temperature in bundle'!$Q$7)^0.5)/2/(Y240+AA$7)))</f>
        <v/>
      </c>
      <c r="AA240" s="98"/>
      <c r="AB240" s="101"/>
    </row>
    <row r="241" spans="2:28">
      <c r="B241" s="113"/>
      <c r="C241" s="113"/>
      <c r="D241" s="113"/>
      <c r="E241" s="113"/>
      <c r="F241" s="113"/>
      <c r="G241" s="113"/>
      <c r="J241" s="116"/>
      <c r="K241" s="119"/>
      <c r="L241" s="98"/>
      <c r="M241" s="101"/>
      <c r="O241" s="100"/>
      <c r="P241" s="119" t="str">
        <f>IF('Temperature in bundle'!$P$4="Current = 1A per pair",2,IF($A241="","",('Temperature in bundle'!$Q$6-('Temperature in bundle'!$Q$6^2-4*(O241+Q$7)*'Temperature in bundle'!$Q$7)^0.5)/2/(O241+Q$7)))</f>
        <v/>
      </c>
      <c r="Q241" s="98"/>
      <c r="R241" s="101"/>
      <c r="T241" s="100"/>
      <c r="U241" s="119" t="str">
        <f>IF('Temperature in bundle'!$P$4="Current = 1A per pair",2,IF($A241="","",('Temperature in bundle'!$Q$6-('Temperature in bundle'!$Q$6^2-4*(T241+V$7)*'Temperature in bundle'!$Q$7)^0.5)/2/(T241+V$7)))</f>
        <v/>
      </c>
      <c r="V241" s="98"/>
      <c r="W241" s="101"/>
      <c r="Y241" s="100"/>
      <c r="Z241" s="119" t="str">
        <f>IF('Temperature in bundle'!$P$4="Current = 1A per pair",2,IF($A241="","",('Temperature in bundle'!$Q$6-('Temperature in bundle'!$Q$6^2-4*(Y241+AA$7)*'Temperature in bundle'!$Q$7)^0.5)/2/(Y241+AA$7)))</f>
        <v/>
      </c>
      <c r="AA241" s="98"/>
      <c r="AB241" s="101"/>
    </row>
    <row r="242" spans="2:28">
      <c r="B242" s="113"/>
      <c r="C242" s="113"/>
      <c r="D242" s="113"/>
      <c r="E242" s="113"/>
      <c r="F242" s="113"/>
      <c r="G242" s="113"/>
      <c r="J242" s="116"/>
      <c r="K242" s="119"/>
      <c r="L242" s="98"/>
      <c r="M242" s="101"/>
      <c r="O242" s="100"/>
      <c r="P242" s="119" t="str">
        <f>IF('Temperature in bundle'!$P$4="Current = 1A per pair",2,IF($A242="","",('Temperature in bundle'!$Q$6-('Temperature in bundle'!$Q$6^2-4*(O242+Q$7)*'Temperature in bundle'!$Q$7)^0.5)/2/(O242+Q$7)))</f>
        <v/>
      </c>
      <c r="Q242" s="98"/>
      <c r="R242" s="101"/>
      <c r="T242" s="100"/>
      <c r="U242" s="119" t="str">
        <f>IF('Temperature in bundle'!$P$4="Current = 1A per pair",2,IF($A242="","",('Temperature in bundle'!$Q$6-('Temperature in bundle'!$Q$6^2-4*(T242+V$7)*'Temperature in bundle'!$Q$7)^0.5)/2/(T242+V$7)))</f>
        <v/>
      </c>
      <c r="V242" s="98"/>
      <c r="W242" s="101"/>
      <c r="Y242" s="100"/>
      <c r="Z242" s="119" t="str">
        <f>IF('Temperature in bundle'!$P$4="Current = 1A per pair",2,IF($A242="","",('Temperature in bundle'!$Q$6-('Temperature in bundle'!$Q$6^2-4*(Y242+AA$7)*'Temperature in bundle'!$Q$7)^0.5)/2/(Y242+AA$7)))</f>
        <v/>
      </c>
      <c r="AA242" s="98"/>
      <c r="AB242" s="101"/>
    </row>
    <row r="243" spans="2:28">
      <c r="B243" s="113"/>
      <c r="C243" s="113"/>
      <c r="D243" s="113"/>
      <c r="E243" s="113"/>
      <c r="F243" s="113"/>
      <c r="G243" s="113"/>
      <c r="J243" s="116"/>
      <c r="K243" s="119"/>
      <c r="L243" s="98"/>
      <c r="M243" s="101"/>
      <c r="O243" s="100"/>
      <c r="P243" s="119" t="str">
        <f>IF('Temperature in bundle'!$P$4="Current = 1A per pair",2,IF($A243="","",('Temperature in bundle'!$Q$6-('Temperature in bundle'!$Q$6^2-4*(O243+Q$7)*'Temperature in bundle'!$Q$7)^0.5)/2/(O243+Q$7)))</f>
        <v/>
      </c>
      <c r="Q243" s="98"/>
      <c r="R243" s="101"/>
      <c r="T243" s="100"/>
      <c r="U243" s="119" t="str">
        <f>IF('Temperature in bundle'!$P$4="Current = 1A per pair",2,IF($A243="","",('Temperature in bundle'!$Q$6-('Temperature in bundle'!$Q$6^2-4*(T243+V$7)*'Temperature in bundle'!$Q$7)^0.5)/2/(T243+V$7)))</f>
        <v/>
      </c>
      <c r="V243" s="98"/>
      <c r="W243" s="101"/>
      <c r="Y243" s="100"/>
      <c r="Z243" s="119" t="str">
        <f>IF('Temperature in bundle'!$P$4="Current = 1A per pair",2,IF($A243="","",('Temperature in bundle'!$Q$6-('Temperature in bundle'!$Q$6^2-4*(Y243+AA$7)*'Temperature in bundle'!$Q$7)^0.5)/2/(Y243+AA$7)))</f>
        <v/>
      </c>
      <c r="AA243" s="98"/>
      <c r="AB243" s="101"/>
    </row>
    <row r="244" spans="2:28">
      <c r="B244" s="113"/>
      <c r="C244" s="113"/>
      <c r="D244" s="113"/>
      <c r="E244" s="113"/>
      <c r="F244" s="113"/>
      <c r="G244" s="113"/>
      <c r="J244" s="116"/>
      <c r="K244" s="119"/>
      <c r="L244" s="98"/>
      <c r="M244" s="101"/>
      <c r="O244" s="100"/>
      <c r="P244" s="119" t="str">
        <f>IF('Temperature in bundle'!$P$4="Current = 1A per pair",2,IF($A244="","",('Temperature in bundle'!$Q$6-('Temperature in bundle'!$Q$6^2-4*(O244+Q$7)*'Temperature in bundle'!$Q$7)^0.5)/2/(O244+Q$7)))</f>
        <v/>
      </c>
      <c r="Q244" s="98"/>
      <c r="R244" s="101"/>
      <c r="T244" s="100"/>
      <c r="U244" s="119" t="str">
        <f>IF('Temperature in bundle'!$P$4="Current = 1A per pair",2,IF($A244="","",('Temperature in bundle'!$Q$6-('Temperature in bundle'!$Q$6^2-4*(T244+V$7)*'Temperature in bundle'!$Q$7)^0.5)/2/(T244+V$7)))</f>
        <v/>
      </c>
      <c r="V244" s="98"/>
      <c r="W244" s="101"/>
      <c r="Y244" s="100"/>
      <c r="Z244" s="119" t="str">
        <f>IF('Temperature in bundle'!$P$4="Current = 1A per pair",2,IF($A244="","",('Temperature in bundle'!$Q$6-('Temperature in bundle'!$Q$6^2-4*(Y244+AA$7)*'Temperature in bundle'!$Q$7)^0.5)/2/(Y244+AA$7)))</f>
        <v/>
      </c>
      <c r="AA244" s="98"/>
      <c r="AB244" s="101"/>
    </row>
    <row r="245" spans="2:28">
      <c r="B245" s="113"/>
      <c r="C245" s="113"/>
      <c r="D245" s="113"/>
      <c r="E245" s="113"/>
      <c r="F245" s="113"/>
      <c r="G245" s="113"/>
      <c r="J245" s="116"/>
      <c r="K245" s="119"/>
      <c r="L245" s="98"/>
      <c r="M245" s="101"/>
      <c r="O245" s="100"/>
      <c r="P245" s="119" t="str">
        <f>IF('Temperature in bundle'!$P$4="Current = 1A per pair",2,IF($A245="","",('Temperature in bundle'!$Q$6-('Temperature in bundle'!$Q$6^2-4*(O245+Q$7)*'Temperature in bundle'!$Q$7)^0.5)/2/(O245+Q$7)))</f>
        <v/>
      </c>
      <c r="Q245" s="98"/>
      <c r="R245" s="101"/>
      <c r="T245" s="100"/>
      <c r="U245" s="119" t="str">
        <f>IF('Temperature in bundle'!$P$4="Current = 1A per pair",2,IF($A245="","",('Temperature in bundle'!$Q$6-('Temperature in bundle'!$Q$6^2-4*(T245+V$7)*'Temperature in bundle'!$Q$7)^0.5)/2/(T245+V$7)))</f>
        <v/>
      </c>
      <c r="V245" s="98"/>
      <c r="W245" s="101"/>
      <c r="Y245" s="100"/>
      <c r="Z245" s="119" t="str">
        <f>IF('Temperature in bundle'!$P$4="Current = 1A per pair",2,IF($A245="","",('Temperature in bundle'!$Q$6-('Temperature in bundle'!$Q$6^2-4*(Y245+AA$7)*'Temperature in bundle'!$Q$7)^0.5)/2/(Y245+AA$7)))</f>
        <v/>
      </c>
      <c r="AA245" s="98"/>
      <c r="AB245" s="101"/>
    </row>
    <row r="246" spans="2:28">
      <c r="B246" s="113"/>
      <c r="C246" s="113"/>
      <c r="D246" s="113"/>
      <c r="E246" s="113"/>
      <c r="F246" s="113"/>
      <c r="G246" s="113"/>
      <c r="J246" s="116"/>
      <c r="K246" s="119"/>
      <c r="L246" s="98"/>
      <c r="M246" s="101"/>
      <c r="O246" s="100"/>
      <c r="P246" s="119" t="str">
        <f>IF('Temperature in bundle'!$P$4="Current = 1A per pair",2,IF($A246="","",('Temperature in bundle'!$Q$6-('Temperature in bundle'!$Q$6^2-4*(O246+Q$7)*'Temperature in bundle'!$Q$7)^0.5)/2/(O246+Q$7)))</f>
        <v/>
      </c>
      <c r="Q246" s="98"/>
      <c r="R246" s="101"/>
      <c r="T246" s="100"/>
      <c r="U246" s="119" t="str">
        <f>IF('Temperature in bundle'!$P$4="Current = 1A per pair",2,IF($A246="","",('Temperature in bundle'!$Q$6-('Temperature in bundle'!$Q$6^2-4*(T246+V$7)*'Temperature in bundle'!$Q$7)^0.5)/2/(T246+V$7)))</f>
        <v/>
      </c>
      <c r="V246" s="98"/>
      <c r="W246" s="101"/>
      <c r="Y246" s="100"/>
      <c r="Z246" s="119" t="str">
        <f>IF('Temperature in bundle'!$P$4="Current = 1A per pair",2,IF($A246="","",('Temperature in bundle'!$Q$6-('Temperature in bundle'!$Q$6^2-4*(Y246+AA$7)*'Temperature in bundle'!$Q$7)^0.5)/2/(Y246+AA$7)))</f>
        <v/>
      </c>
      <c r="AA246" s="98"/>
      <c r="AB246" s="101"/>
    </row>
    <row r="247" spans="2:28">
      <c r="B247" s="113"/>
      <c r="C247" s="113"/>
      <c r="D247" s="113"/>
      <c r="E247" s="113"/>
      <c r="F247" s="113"/>
      <c r="G247" s="113"/>
      <c r="J247" s="116"/>
      <c r="K247" s="119"/>
      <c r="L247" s="98"/>
      <c r="M247" s="101"/>
      <c r="O247" s="100"/>
      <c r="P247" s="119" t="str">
        <f>IF('Temperature in bundle'!$P$4="Current = 1A per pair",2,IF($A247="","",('Temperature in bundle'!$Q$6-('Temperature in bundle'!$Q$6^2-4*(O247+Q$7)*'Temperature in bundle'!$Q$7)^0.5)/2/(O247+Q$7)))</f>
        <v/>
      </c>
      <c r="Q247" s="98"/>
      <c r="R247" s="101"/>
      <c r="T247" s="100"/>
      <c r="U247" s="119" t="str">
        <f>IF('Temperature in bundle'!$P$4="Current = 1A per pair",2,IF($A247="","",('Temperature in bundle'!$Q$6-('Temperature in bundle'!$Q$6^2-4*(T247+V$7)*'Temperature in bundle'!$Q$7)^0.5)/2/(T247+V$7)))</f>
        <v/>
      </c>
      <c r="V247" s="98"/>
      <c r="W247" s="101"/>
      <c r="Y247" s="100"/>
      <c r="Z247" s="119" t="str">
        <f>IF('Temperature in bundle'!$P$4="Current = 1A per pair",2,IF($A247="","",('Temperature in bundle'!$Q$6-('Temperature in bundle'!$Q$6^2-4*(Y247+AA$7)*'Temperature in bundle'!$Q$7)^0.5)/2/(Y247+AA$7)))</f>
        <v/>
      </c>
      <c r="AA247" s="98"/>
      <c r="AB247" s="101"/>
    </row>
    <row r="248" spans="2:28">
      <c r="B248" s="113"/>
      <c r="C248" s="113"/>
      <c r="D248" s="113"/>
      <c r="E248" s="113"/>
      <c r="F248" s="113"/>
      <c r="G248" s="113"/>
      <c r="J248" s="116"/>
      <c r="K248" s="119"/>
      <c r="L248" s="98"/>
      <c r="M248" s="101"/>
      <c r="O248" s="100"/>
      <c r="P248" s="119" t="str">
        <f>IF('Temperature in bundle'!$P$4="Current = 1A per pair",2,IF($A248="","",('Temperature in bundle'!$Q$6-('Temperature in bundle'!$Q$6^2-4*(O248+Q$7)*'Temperature in bundle'!$Q$7)^0.5)/2/(O248+Q$7)))</f>
        <v/>
      </c>
      <c r="Q248" s="98"/>
      <c r="R248" s="101"/>
      <c r="T248" s="100"/>
      <c r="U248" s="119" t="str">
        <f>IF('Temperature in bundle'!$P$4="Current = 1A per pair",2,IF($A248="","",('Temperature in bundle'!$Q$6-('Temperature in bundle'!$Q$6^2-4*(T248+V$7)*'Temperature in bundle'!$Q$7)^0.5)/2/(T248+V$7)))</f>
        <v/>
      </c>
      <c r="V248" s="98"/>
      <c r="W248" s="101"/>
      <c r="Y248" s="100"/>
      <c r="Z248" s="119" t="str">
        <f>IF('Temperature in bundle'!$P$4="Current = 1A per pair",2,IF($A248="","",('Temperature in bundle'!$Q$6-('Temperature in bundle'!$Q$6^2-4*(Y248+AA$7)*'Temperature in bundle'!$Q$7)^0.5)/2/(Y248+AA$7)))</f>
        <v/>
      </c>
      <c r="AA248" s="98"/>
      <c r="AB248" s="101"/>
    </row>
    <row r="249" spans="2:28">
      <c r="B249" s="113"/>
      <c r="C249" s="113"/>
      <c r="D249" s="113"/>
      <c r="E249" s="113"/>
      <c r="F249" s="113"/>
      <c r="G249" s="113"/>
      <c r="J249" s="116"/>
      <c r="K249" s="119"/>
      <c r="L249" s="98"/>
      <c r="M249" s="101"/>
      <c r="O249" s="100"/>
      <c r="P249" s="119" t="str">
        <f>IF('Temperature in bundle'!$P$4="Current = 1A per pair",2,IF($A249="","",('Temperature in bundle'!$Q$6-('Temperature in bundle'!$Q$6^2-4*(O249+Q$7)*'Temperature in bundle'!$Q$7)^0.5)/2/(O249+Q$7)))</f>
        <v/>
      </c>
      <c r="Q249" s="98"/>
      <c r="R249" s="101"/>
      <c r="T249" s="100"/>
      <c r="U249" s="119" t="str">
        <f>IF('Temperature in bundle'!$P$4="Current = 1A per pair",2,IF($A249="","",('Temperature in bundle'!$Q$6-('Temperature in bundle'!$Q$6^2-4*(T249+V$7)*'Temperature in bundle'!$Q$7)^0.5)/2/(T249+V$7)))</f>
        <v/>
      </c>
      <c r="V249" s="98"/>
      <c r="W249" s="101"/>
      <c r="Y249" s="100"/>
      <c r="Z249" s="119" t="str">
        <f>IF('Temperature in bundle'!$P$4="Current = 1A per pair",2,IF($A249="","",('Temperature in bundle'!$Q$6-('Temperature in bundle'!$Q$6^2-4*(Y249+AA$7)*'Temperature in bundle'!$Q$7)^0.5)/2/(Y249+AA$7)))</f>
        <v/>
      </c>
      <c r="AA249" s="98"/>
      <c r="AB249" s="101"/>
    </row>
  </sheetData>
  <mergeCells count="56">
    <mergeCell ref="A1:B1"/>
    <mergeCell ref="C1:D1"/>
    <mergeCell ref="E1:F1"/>
    <mergeCell ref="G1:H1"/>
    <mergeCell ref="A2:B2"/>
    <mergeCell ref="C2:D2"/>
    <mergeCell ref="E2:F2"/>
    <mergeCell ref="G2:H2"/>
    <mergeCell ref="A3:B3"/>
    <mergeCell ref="C3:D3"/>
    <mergeCell ref="E3:F3"/>
    <mergeCell ref="G3:H3"/>
    <mergeCell ref="A4:B4"/>
    <mergeCell ref="C4:D4"/>
    <mergeCell ref="E4:F4"/>
    <mergeCell ref="G4:H4"/>
    <mergeCell ref="A5:B5"/>
    <mergeCell ref="C5:D5"/>
    <mergeCell ref="E5:F5"/>
    <mergeCell ref="G5:H5"/>
    <mergeCell ref="A6:B6"/>
    <mergeCell ref="C6:D6"/>
    <mergeCell ref="E6:F6"/>
    <mergeCell ref="G6:H6"/>
    <mergeCell ref="A7:B7"/>
    <mergeCell ref="C7:D7"/>
    <mergeCell ref="E7:F7"/>
    <mergeCell ref="G7:H7"/>
    <mergeCell ref="A8:B8"/>
    <mergeCell ref="C8:D8"/>
    <mergeCell ref="E8:F8"/>
    <mergeCell ref="G8:H8"/>
    <mergeCell ref="A9:B9"/>
    <mergeCell ref="C9:D9"/>
    <mergeCell ref="E9:F9"/>
    <mergeCell ref="G9:H9"/>
    <mergeCell ref="A10:B10"/>
    <mergeCell ref="C10:D10"/>
    <mergeCell ref="E10:F10"/>
    <mergeCell ref="G10:H10"/>
    <mergeCell ref="A11:B11"/>
    <mergeCell ref="C11:H11"/>
    <mergeCell ref="A12:B12"/>
    <mergeCell ref="C12:H12"/>
    <mergeCell ref="A13:B13"/>
    <mergeCell ref="C13:D13"/>
    <mergeCell ref="E13:F13"/>
    <mergeCell ref="G13:H13"/>
    <mergeCell ref="A14:B14"/>
    <mergeCell ref="C14:D14"/>
    <mergeCell ref="E14:F14"/>
    <mergeCell ref="G14:H14"/>
    <mergeCell ref="A15:B15"/>
    <mergeCell ref="C15:D15"/>
    <mergeCell ref="E15:F15"/>
    <mergeCell ref="G15:H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f7ef435-4a6a-4c5b-a598-3c6f4f335ce3">
      <Terms xmlns="http://schemas.microsoft.com/office/infopath/2007/PartnerControls"/>
    </lcf76f155ced4ddcb4097134ff3c332f>
    <TaxCatchAll xmlns="3cccec10-cce3-487f-b5b0-15411b38097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B7DC3029239C4CA8EFC8F8F43BC3F5" ma:contentTypeVersion="11" ma:contentTypeDescription="Crée un document." ma:contentTypeScope="" ma:versionID="5e62b8acaabb432416b2288073a9ddc2">
  <xsd:schema xmlns:xsd="http://www.w3.org/2001/XMLSchema" xmlns:xs="http://www.w3.org/2001/XMLSchema" xmlns:p="http://schemas.microsoft.com/office/2006/metadata/properties" xmlns:ns2="7f7ef435-4a6a-4c5b-a598-3c6f4f335ce3" xmlns:ns3="3cccec10-cce3-487f-b5b0-15411b380979" targetNamespace="http://schemas.microsoft.com/office/2006/metadata/properties" ma:root="true" ma:fieldsID="78df9fd12c8917759490c5fe1f4f4386" ns2:_="" ns3:_="">
    <xsd:import namespace="7f7ef435-4a6a-4c5b-a598-3c6f4f335ce3"/>
    <xsd:import namespace="3cccec10-cce3-487f-b5b0-15411b3809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7ef435-4a6a-4c5b-a598-3c6f4f335c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e3e82df8-f6af-445d-9b0b-5c4dfc7c59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ccec10-cce3-487f-b5b0-15411b380979"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bc82d7d6-30a1-461a-8077-6b37bc2fdb41}" ma:internalName="TaxCatchAll" ma:showField="CatchAllData" ma:web="3cccec10-cce3-487f-b5b0-15411b3809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559D12-7C46-4AE2-BAB7-8CAA5C3D2357}">
  <ds:schemaRefs>
    <ds:schemaRef ds:uri="http://schemas.microsoft.com/sharepoint/v3/contenttype/forms"/>
  </ds:schemaRefs>
</ds:datastoreItem>
</file>

<file path=customXml/itemProps2.xml><?xml version="1.0" encoding="utf-8"?>
<ds:datastoreItem xmlns:ds="http://schemas.openxmlformats.org/officeDocument/2006/customXml" ds:itemID="{B4392918-6125-4EED-96A7-8AB4CC4AFDA8}">
  <ds:schemaRefs>
    <ds:schemaRef ds:uri="http://schemas.microsoft.com/office/2006/metadata/properties"/>
    <ds:schemaRef ds:uri="http://schemas.microsoft.com/office/infopath/2007/PartnerControls"/>
    <ds:schemaRef ds:uri="7f7ef435-4a6a-4c5b-a598-3c6f4f335ce3"/>
    <ds:schemaRef ds:uri="3cccec10-cce3-487f-b5b0-15411b380979"/>
  </ds:schemaRefs>
</ds:datastoreItem>
</file>

<file path=customXml/itemProps3.xml><?xml version="1.0" encoding="utf-8"?>
<ds:datastoreItem xmlns:ds="http://schemas.openxmlformats.org/officeDocument/2006/customXml" ds:itemID="{0E6A9D5D-1902-45C2-AD0D-D06CC3C573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7ef435-4a6a-4c5b-a598-3c6f4f335ce3"/>
    <ds:schemaRef ds:uri="3cccec10-cce3-487f-b5b0-15411b3809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Temp Calc</vt:lpstr>
      <vt:lpstr>Cable list</vt:lpstr>
      <vt:lpstr>Constant list</vt:lpstr>
      <vt:lpstr>Cable and cord selector</vt:lpstr>
      <vt:lpstr>Bundle in pathway</vt:lpstr>
      <vt:lpstr>Messages</vt:lpstr>
      <vt:lpstr>Calc-round bundle</vt:lpstr>
      <vt:lpstr>Calc-flat bundle</vt:lpstr>
      <vt:lpstr>Calc-24-cable bundle</vt:lpstr>
      <vt:lpstr>Temperature in bundle</vt:lpstr>
      <vt:lpstr>Read me first</vt:lpstr>
      <vt:lpstr>Feuil1</vt:lpstr>
      <vt:lpstr>Feuil2</vt:lpstr>
      <vt:lpstr>Feuil4</vt:lpstr>
      <vt:lpstr>Feuil3</vt:lpstr>
      <vt:lpstr>'Temperature in bundle'!Print_Area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 DURAND</dc:creator>
  <cp:lastModifiedBy>David Toftlund</cp:lastModifiedBy>
  <cp:lastPrinted>2023-07-21T14:54:58Z</cp:lastPrinted>
  <dcterms:created xsi:type="dcterms:W3CDTF">2021-05-07T12:52:52Z</dcterms:created>
  <dcterms:modified xsi:type="dcterms:W3CDTF">2023-09-15T09:52:50Z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7c75fe-f914-45f8-9747-40a3f5d4287a_Enabled">
    <vt:lpwstr>true</vt:lpwstr>
  </property>
  <property fmtid="{D5CDD505-2E9C-101B-9397-08002B2CF9AE}" pid="3" name="MSIP_Label_fe7c75fe-f914-45f8-9747-40a3f5d4287a_SetDate">
    <vt:lpwstr>2021-05-07T12:52:53Z</vt:lpwstr>
  </property>
  <property fmtid="{D5CDD505-2E9C-101B-9397-08002B2CF9AE}" pid="4" name="MSIP_Label_fe7c75fe-f914-45f8-9747-40a3f5d4287a_Method">
    <vt:lpwstr>Standard</vt:lpwstr>
  </property>
  <property fmtid="{D5CDD505-2E9C-101B-9397-08002B2CF9AE}" pid="5" name="MSIP_Label_fe7c75fe-f914-45f8-9747-40a3f5d4287a_Name">
    <vt:lpwstr>Without Visual Marking</vt:lpwstr>
  </property>
  <property fmtid="{D5CDD505-2E9C-101B-9397-08002B2CF9AE}" pid="6" name="MSIP_Label_fe7c75fe-f914-45f8-9747-40a3f5d4287a_SiteId">
    <vt:lpwstr>6e51e1ad-c54b-4b39-b598-0ffe9ae68fef</vt:lpwstr>
  </property>
  <property fmtid="{D5CDD505-2E9C-101B-9397-08002B2CF9AE}" pid="7" name="MSIP_Label_fe7c75fe-f914-45f8-9747-40a3f5d4287a_ActionId">
    <vt:lpwstr>f94fa008-cbac-40b1-9d68-ea1a8f0116ef</vt:lpwstr>
  </property>
  <property fmtid="{D5CDD505-2E9C-101B-9397-08002B2CF9AE}" pid="8" name="MSIP_Label_fe7c75fe-f914-45f8-9747-40a3f5d4287a_ContentBits">
    <vt:lpwstr>0</vt:lpwstr>
  </property>
  <property fmtid="{D5CDD505-2E9C-101B-9397-08002B2CF9AE}" pid="9" name="ContentTypeId">
    <vt:lpwstr>0x010100CCB7DC3029239C4CA8EFC8F8F43BC3F5</vt:lpwstr>
  </property>
</Properties>
</file>